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imelineCaches/timelineCache1.xml" ContentType="application/vnd.ms-excel.timelineCache+xml"/>
  <Override PartName="/xl/timelineCaches/timelineCache2.xml" ContentType="application/vnd.ms-excel.timelineCache+xml"/>
  <Override PartName="/xl/timelineCaches/timelineCache3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slicers/slicer2.xml" ContentType="application/vnd.ms-excel.slicer+xml"/>
  <Override PartName="/xl/timelines/timeline2.xml" ContentType="application/vnd.ms-excel.timelin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slicers/slicer3.xml" ContentType="application/vnd.ms-excel.slicer+xml"/>
  <Override PartName="/xl/timelines/timeline3.xml" ContentType="application/vnd.ms-excel.timelin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drawings/drawing8.xml" ContentType="application/vnd.openxmlformats-officedocument.drawing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T:\Stagiaire\Mathis VERITE\1- LIVRABLES Fin d'alternance\Suivi des consommations\EXCEL VIERGE et Tutoriel\"/>
    </mc:Choice>
  </mc:AlternateContent>
  <xr:revisionPtr revIDLastSave="0" documentId="13_ncr:1_{75167EC8-466B-48A6-AABC-6FDDBED4F0D0}" xr6:coauthVersionLast="47" xr6:coauthVersionMax="47" xr10:uidLastSave="{00000000-0000-0000-0000-000000000000}"/>
  <bookViews>
    <workbookView xWindow="-120" yWindow="-120" windowWidth="29040" windowHeight="15840" xr2:uid="{AACEA77E-91BB-4D7E-933C-DB4E1F4F300C}"/>
  </bookViews>
  <sheets>
    <sheet name="over de tool" sheetId="30" r:id="rId1"/>
    <sheet name="Elektriciteitverbruiksdashboard" sheetId="1" r:id="rId2"/>
    <sheet name="Gasverbruiksdashboard" sheetId="11" r:id="rId3"/>
    <sheet name="Waterverbruiksdashboard" sheetId="10" r:id="rId4"/>
    <sheet name="Waterverbruikdatabase" sheetId="12" r:id="rId5"/>
    <sheet name="Gasverbruikdatabase" sheetId="13" r:id="rId6"/>
    <sheet name="Elektriciteitverbruikdatabase" sheetId="8" r:id="rId7"/>
    <sheet name="Verbruikskosten" sheetId="9" r:id="rId8"/>
    <sheet name="Conso_tot_EAU" sheetId="19" state="hidden" r:id="rId9"/>
    <sheet name="Conso_postes_EAU" sheetId="21" state="hidden" r:id="rId10"/>
    <sheet name="Cout_conso_postes_EAU" sheetId="22" state="hidden" r:id="rId11"/>
    <sheet name="Evo_conso_postes_EAU" sheetId="23" state="hidden" r:id="rId12"/>
    <sheet name="Secteur_conso_postes_EAU" sheetId="24" state="hidden" r:id="rId13"/>
    <sheet name="Conso_tot_GAZ" sheetId="25" state="hidden" r:id="rId14"/>
    <sheet name="Conso_postes_GAZ" sheetId="26" state="hidden" r:id="rId15"/>
    <sheet name="Coût_conso_postes_GAZ" sheetId="27" state="hidden" r:id="rId16"/>
    <sheet name="Evo_conso_postes_GAZ" sheetId="28" state="hidden" r:id="rId17"/>
    <sheet name="Secteur_conso_postes_GAZ" sheetId="29" state="hidden" r:id="rId18"/>
    <sheet name="Conso_tot_ELEC" sheetId="14" state="hidden" r:id="rId19"/>
    <sheet name="Conso_Postes_ELEC" sheetId="15" state="hidden" r:id="rId20"/>
    <sheet name="Coût_Conso_Postes_ELEC" sheetId="16" state="hidden" r:id="rId21"/>
    <sheet name="Evo_Conso_Postes_ELEC" sheetId="17" state="hidden" r:id="rId22"/>
    <sheet name="Secteur_Conso_Postes_ELEC" sheetId="18" state="hidden" r:id="rId23"/>
  </sheets>
  <definedNames>
    <definedName name="ChronologieNative_Maand_Jaar">#N/A</definedName>
    <definedName name="ChronologieNative_Mannd_Jaar">#N/A</definedName>
    <definedName name="ChronologieNative_Mannd_Jaar1">#N/A</definedName>
    <definedName name="Segment_JAAR">#N/A</definedName>
    <definedName name="Segment_JAAR1">#N/A</definedName>
    <definedName name="Segment_JAAR2">#N/A</definedName>
    <definedName name="Segment_MAAND">#N/A</definedName>
    <definedName name="Segment_MAAND1">#N/A</definedName>
    <definedName name="Segment_MAAND2">#N/A</definedName>
  </definedNames>
  <calcPr calcId="191029"/>
  <pivotCaches>
    <pivotCache cacheId="81" r:id="rId24"/>
    <pivotCache cacheId="86" r:id="rId25"/>
    <pivotCache cacheId="91" r:id="rId26"/>
  </pivotCaches>
  <extLst>
    <ext xmlns:x14="http://schemas.microsoft.com/office/spreadsheetml/2009/9/main" uri="{BBE1A952-AA13-448e-AADC-164F8A28A991}">
      <x14:slicerCaches>
        <x14:slicerCache r:id="rId27"/>
        <x14:slicerCache r:id="rId28"/>
        <x14:slicerCache r:id="rId29"/>
        <x14:slicerCache r:id="rId30"/>
        <x14:slicerCache r:id="rId31"/>
        <x14:slicerCache r:id="rId3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33"/>
        <x15:timelineCacheRef r:id="rId34"/>
        <x15:timelineCacheRef r:id="rId35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5" i="12" l="1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M15" i="12"/>
  <c r="AN15" i="12"/>
  <c r="AO15" i="12"/>
  <c r="AP15" i="12"/>
  <c r="AQ15" i="12"/>
  <c r="X15" i="12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X15" i="8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X15" i="13"/>
  <c r="AT19" i="13" l="1"/>
  <c r="AS19" i="13"/>
  <c r="AT18" i="13"/>
  <c r="AS18" i="13"/>
  <c r="AT17" i="13"/>
  <c r="AS17" i="13"/>
  <c r="AT19" i="12"/>
  <c r="AS19" i="12"/>
  <c r="AT18" i="12"/>
  <c r="AS18" i="12"/>
  <c r="AT17" i="12"/>
  <c r="AS17" i="12"/>
  <c r="AR17" i="12" l="1"/>
  <c r="AJ17" i="12"/>
  <c r="AB17" i="12"/>
  <c r="AQ17" i="12"/>
  <c r="Y17" i="12"/>
  <c r="AP17" i="12"/>
  <c r="AH17" i="12"/>
  <c r="Z17" i="12"/>
  <c r="AG17" i="12"/>
  <c r="AN17" i="12"/>
  <c r="AF17" i="12"/>
  <c r="X17" i="12"/>
  <c r="AI17" i="12"/>
  <c r="AM17" i="12"/>
  <c r="AE17" i="12"/>
  <c r="AC17" i="12"/>
  <c r="AO17" i="12"/>
  <c r="AL17" i="12"/>
  <c r="AD17" i="12"/>
  <c r="AK17" i="12"/>
  <c r="AA17" i="12"/>
  <c r="AO17" i="13"/>
  <c r="AG17" i="13"/>
  <c r="Y17" i="13"/>
  <c r="AN17" i="13"/>
  <c r="AF17" i="13"/>
  <c r="X17" i="13"/>
  <c r="AR17" i="13"/>
  <c r="AA17" i="13"/>
  <c r="AH17" i="13"/>
  <c r="AM17" i="13"/>
  <c r="AE17" i="13"/>
  <c r="AK17" i="13"/>
  <c r="AJ17" i="13"/>
  <c r="AQ17" i="13"/>
  <c r="Z17" i="13"/>
  <c r="AL17" i="13"/>
  <c r="AD17" i="13"/>
  <c r="AC17" i="13"/>
  <c r="AB17" i="13"/>
  <c r="AI17" i="13"/>
  <c r="AP17" i="13"/>
  <c r="AQ19" i="13"/>
  <c r="AM19" i="13"/>
  <c r="AI19" i="13"/>
  <c r="AE19" i="13"/>
  <c r="AA19" i="13"/>
  <c r="AH19" i="13"/>
  <c r="Z19" i="13"/>
  <c r="AB19" i="13"/>
  <c r="AP19" i="13"/>
  <c r="AL19" i="13"/>
  <c r="AD19" i="13"/>
  <c r="X19" i="13"/>
  <c r="AO19" i="13"/>
  <c r="AK19" i="13"/>
  <c r="AG19" i="13"/>
  <c r="AC19" i="13"/>
  <c r="Y19" i="13"/>
  <c r="AR19" i="13"/>
  <c r="AN19" i="13"/>
  <c r="AJ19" i="13"/>
  <c r="AF19" i="13"/>
  <c r="AO19" i="12"/>
  <c r="AK19" i="12"/>
  <c r="AG19" i="12"/>
  <c r="AC19" i="12"/>
  <c r="Y19" i="12"/>
  <c r="AR19" i="12"/>
  <c r="AN19" i="12"/>
  <c r="AJ19" i="12"/>
  <c r="AF19" i="12"/>
  <c r="AB19" i="12"/>
  <c r="X19" i="12"/>
  <c r="AQ19" i="12"/>
  <c r="AM19" i="12"/>
  <c r="AI19" i="12"/>
  <c r="AE19" i="12"/>
  <c r="AA19" i="12"/>
  <c r="AP19" i="12"/>
  <c r="AL19" i="12"/>
  <c r="AH19" i="12"/>
  <c r="AD19" i="12"/>
  <c r="Z19" i="12"/>
  <c r="AM18" i="12"/>
  <c r="AE18" i="12"/>
  <c r="AK18" i="12"/>
  <c r="AP18" i="12"/>
  <c r="AH18" i="12"/>
  <c r="AR18" i="12"/>
  <c r="AJ18" i="12"/>
  <c r="AB18" i="12"/>
  <c r="AO18" i="12"/>
  <c r="AG18" i="12"/>
  <c r="Y18" i="12"/>
  <c r="AL18" i="12"/>
  <c r="AD18" i="12"/>
  <c r="Z18" i="12"/>
  <c r="AQ18" i="12"/>
  <c r="AI18" i="12"/>
  <c r="AA18" i="12"/>
  <c r="AN18" i="12"/>
  <c r="AF18" i="12"/>
  <c r="X18" i="12"/>
  <c r="AC18" i="12"/>
  <c r="AR18" i="13"/>
  <c r="AJ18" i="13"/>
  <c r="AB18" i="13"/>
  <c r="AO18" i="13"/>
  <c r="AG18" i="13"/>
  <c r="AL18" i="13"/>
  <c r="AD18" i="13"/>
  <c r="X18" i="13"/>
  <c r="Y18" i="13"/>
  <c r="AQ18" i="13"/>
  <c r="AI18" i="13"/>
  <c r="AA18" i="13"/>
  <c r="AF18" i="13"/>
  <c r="AM18" i="13"/>
  <c r="AE18" i="13"/>
  <c r="AN18" i="13"/>
  <c r="AH18" i="13"/>
  <c r="AK18" i="13"/>
  <c r="AC18" i="13"/>
  <c r="AP18" i="13"/>
  <c r="Z18" i="13"/>
  <c r="AS17" i="8"/>
  <c r="AS18" i="8"/>
  <c r="AS19" i="8"/>
  <c r="AT17" i="8" l="1"/>
  <c r="AT18" i="8"/>
  <c r="AT19" i="8"/>
  <c r="X17" i="8" l="1"/>
  <c r="AF17" i="8"/>
  <c r="AN17" i="8"/>
  <c r="AG17" i="8"/>
  <c r="AO17" i="8"/>
  <c r="AH17" i="8"/>
  <c r="AP17" i="8"/>
  <c r="AI17" i="8"/>
  <c r="AJ17" i="8"/>
  <c r="AK17" i="8"/>
  <c r="Y17" i="8"/>
  <c r="AC17" i="8"/>
  <c r="AE17" i="8"/>
  <c r="Z17" i="8"/>
  <c r="AQ17" i="8"/>
  <c r="AR17" i="8"/>
  <c r="AA17" i="8"/>
  <c r="AB17" i="8"/>
  <c r="AM17" i="8"/>
  <c r="AD17" i="8"/>
  <c r="AL17" i="8"/>
  <c r="X19" i="8"/>
  <c r="AB19" i="8"/>
  <c r="AF19" i="8"/>
  <c r="AJ19" i="8"/>
  <c r="AN19" i="8"/>
  <c r="AR19" i="8"/>
  <c r="AI19" i="8"/>
  <c r="AQ19" i="8"/>
  <c r="AC19" i="8"/>
  <c r="AG19" i="8"/>
  <c r="AO19" i="8"/>
  <c r="AD19" i="8"/>
  <c r="AL19" i="8"/>
  <c r="AP19" i="8"/>
  <c r="AA19" i="8"/>
  <c r="Y19" i="8"/>
  <c r="AK19" i="8"/>
  <c r="Z19" i="8"/>
  <c r="AH19" i="8"/>
  <c r="AE19" i="8"/>
  <c r="AM19" i="8"/>
  <c r="AC18" i="8"/>
  <c r="X18" i="8"/>
  <c r="AF18" i="8"/>
  <c r="AA18" i="8"/>
  <c r="AI18" i="8"/>
  <c r="AQ18" i="8"/>
  <c r="AG18" i="8"/>
  <c r="AD18" i="8"/>
  <c r="Y18" i="8"/>
  <c r="AB18" i="8"/>
  <c r="AJ18" i="8"/>
  <c r="AR18" i="8"/>
  <c r="AH18" i="8"/>
  <c r="AK18" i="8"/>
  <c r="AN18" i="8"/>
  <c r="AL18" i="8"/>
  <c r="AO18" i="8"/>
  <c r="AE18" i="8"/>
  <c r="AM18" i="8"/>
  <c r="AP18" i="8"/>
  <c r="Z18" i="8"/>
</calcChain>
</file>

<file path=xl/sharedStrings.xml><?xml version="1.0" encoding="utf-8"?>
<sst xmlns="http://schemas.openxmlformats.org/spreadsheetml/2006/main" count="292" uniqueCount="103">
  <si>
    <t>Étiquettes de lignes</t>
  </si>
  <si>
    <t>Total général</t>
  </si>
  <si>
    <t>Étiquettes de colonnes</t>
  </si>
  <si>
    <t>janvier</t>
  </si>
  <si>
    <t>février</t>
  </si>
  <si>
    <t>mars</t>
  </si>
  <si>
    <t>Graphique (1)</t>
  </si>
  <si>
    <t>Graphique (2)</t>
  </si>
  <si>
    <t>Graphique (3)</t>
  </si>
  <si>
    <t>Graphique (4)</t>
  </si>
  <si>
    <t>Graphique (5)</t>
  </si>
  <si>
    <t>Graphe (6)</t>
  </si>
  <si>
    <t>Graphique (7)</t>
  </si>
  <si>
    <t>Graphique (10)</t>
  </si>
  <si>
    <t>Graphique (9)</t>
  </si>
  <si>
    <t>Graphique (8)</t>
  </si>
  <si>
    <t>Graphique (11)</t>
  </si>
  <si>
    <t>Graphique (12)</t>
  </si>
  <si>
    <t>Graphique (13)</t>
  </si>
  <si>
    <t>Graphique (14)</t>
  </si>
  <si>
    <t>Graphique (15)</t>
  </si>
  <si>
    <t>Graphique (16)</t>
  </si>
  <si>
    <t>Graphique (17)</t>
  </si>
  <si>
    <t>Graphique (18)</t>
  </si>
  <si>
    <t>Graphique (19)</t>
  </si>
  <si>
    <t>Graphique (20)</t>
  </si>
  <si>
    <t>Graphique (21)</t>
  </si>
  <si>
    <t>MV 2022</t>
  </si>
  <si>
    <t>Maand/Jaar</t>
  </si>
  <si>
    <t>Commentaar</t>
  </si>
  <si>
    <t>Item [1]</t>
  </si>
  <si>
    <t>Item [2]</t>
  </si>
  <si>
    <t xml:space="preserve">Item [4] </t>
  </si>
  <si>
    <t>Item [5]</t>
  </si>
  <si>
    <t>Item [6]</t>
  </si>
  <si>
    <t xml:space="preserve">Item [7] </t>
  </si>
  <si>
    <t>Item [8]</t>
  </si>
  <si>
    <t>Item [9]</t>
  </si>
  <si>
    <t>Item [10]</t>
  </si>
  <si>
    <t>Item [11]</t>
  </si>
  <si>
    <t>Item [12]</t>
  </si>
  <si>
    <t>Item [13]</t>
  </si>
  <si>
    <t>Item [14]</t>
  </si>
  <si>
    <t>Item [15]</t>
  </si>
  <si>
    <t>Item [16]</t>
  </si>
  <si>
    <t>Item [17]</t>
  </si>
  <si>
    <t>Item [18]</t>
  </si>
  <si>
    <t>Item [19]</t>
  </si>
  <si>
    <t>Item [20]</t>
  </si>
  <si>
    <t>Totaal</t>
  </si>
  <si>
    <t>Kost Item [1]</t>
  </si>
  <si>
    <t>Kost item [2]</t>
  </si>
  <si>
    <t>Kost item [3]</t>
  </si>
  <si>
    <t>Kost item [4]</t>
  </si>
  <si>
    <t>Kost item [5]</t>
  </si>
  <si>
    <t>Kost item [6]</t>
  </si>
  <si>
    <t>Kost item [7]</t>
  </si>
  <si>
    <t xml:space="preserve">Kost item [8] </t>
  </si>
  <si>
    <t>Kost item [9]</t>
  </si>
  <si>
    <t>Kost item [10]</t>
  </si>
  <si>
    <t>Kost item [11]</t>
  </si>
  <si>
    <t>Kost item [12]</t>
  </si>
  <si>
    <t>Kost item [13]</t>
  </si>
  <si>
    <t>Kost item [14]</t>
  </si>
  <si>
    <t>Kost item [15]</t>
  </si>
  <si>
    <t>Kost item [16]</t>
  </si>
  <si>
    <t>Kost item [17]</t>
  </si>
  <si>
    <t>Kost item [18]</t>
  </si>
  <si>
    <t>Kost item [19]</t>
  </si>
  <si>
    <t>Kost item [20]</t>
  </si>
  <si>
    <t>Totale Kosten</t>
  </si>
  <si>
    <t>Mannd/Jaar</t>
  </si>
  <si>
    <t>Item [3]</t>
  </si>
  <si>
    <t>Item [4]</t>
  </si>
  <si>
    <t>Item [7]</t>
  </si>
  <si>
    <t>Kost item [1]</t>
  </si>
  <si>
    <t>Kost item [8]</t>
  </si>
  <si>
    <t xml:space="preserve">Mannd/Jaar </t>
  </si>
  <si>
    <t xml:space="preserve">Item [3] </t>
  </si>
  <si>
    <t>Tabel van verbruikskosten</t>
  </si>
  <si>
    <t>elektriciteit (kw)</t>
  </si>
  <si>
    <t>water (m3)</t>
  </si>
  <si>
    <t>Gas (m3 o kw)</t>
  </si>
  <si>
    <t>Jaar</t>
  </si>
  <si>
    <t>Nombre de Totaal</t>
  </si>
  <si>
    <t>Valeurs</t>
  </si>
  <si>
    <t xml:space="preserve"> Item [1]</t>
  </si>
  <si>
    <t xml:space="preserve"> Item [2]</t>
  </si>
  <si>
    <t xml:space="preserve"> Item [3] </t>
  </si>
  <si>
    <t xml:space="preserve"> Kost Item [1]</t>
  </si>
  <si>
    <t xml:space="preserve"> Kost item [2]</t>
  </si>
  <si>
    <t xml:space="preserve"> Kost item [3]</t>
  </si>
  <si>
    <t>MAAND</t>
  </si>
  <si>
    <t>JAAR</t>
  </si>
  <si>
    <t xml:space="preserve"> Totaal</t>
  </si>
  <si>
    <t xml:space="preserve"> Totale Kosten</t>
  </si>
  <si>
    <t xml:space="preserve"> Item [3]</t>
  </si>
  <si>
    <t xml:space="preserve"> Kost item [1]</t>
  </si>
  <si>
    <t>Total  Item [1]</t>
  </si>
  <si>
    <t>Total  Item [2]</t>
  </si>
  <si>
    <t>Total  Item [3]</t>
  </si>
  <si>
    <t xml:space="preserve">Total  Item [3] </t>
  </si>
  <si>
    <t>In het kader van het VEG-i-TEC project hebben wij deze excel tool ontwikkeld om u te helpen bij het opzetten van uw energie- en waterverbruik monitoring dashboards. Het wordt u gratis ter beschikking gesteld. Er is ook een handleiding beschikbaar om u te helpen uw meetproject te starten. Dit instrument kan niet worden gecommercialiseerd en wij bieden geen technische ondersteuning.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</si>
</sst>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mmmm\-yy;@"/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535354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" fontId="0" fillId="2" borderId="0" xfId="0" applyNumberFormat="1" applyFill="1"/>
    <xf numFmtId="0" fontId="1" fillId="2" borderId="0" xfId="0" applyFont="1" applyFill="1" applyAlignment="1">
      <alignment horizontal="center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165" fontId="0" fillId="0" borderId="0" xfId="0" applyNumberFormat="1"/>
    <xf numFmtId="0" fontId="0" fillId="2" borderId="0" xfId="0" applyFill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NumberForma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52">
    <dxf>
      <numFmt numFmtId="165" formatCode="#,##0.00\ &quot;€&quot;"/>
    </dxf>
    <dxf>
      <numFmt numFmtId="165" formatCode="#,##0.00\ &quot;€&quot;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C]mmmm\-yy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C]mmmm\-yy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C]mmmm\-yy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3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microsoft.com/office/2011/relationships/timelineCache" Target="timelineCaches/timelineCache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33" Type="http://schemas.microsoft.com/office/2011/relationships/timelineCache" Target="timelineCaches/timelineCache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07/relationships/slicerCache" Target="slicerCaches/slicerCache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32" Type="http://schemas.microsoft.com/office/2007/relationships/slicerCache" Target="slicerCaches/slicerCache6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07/relationships/slicerCache" Target="slicerCaches/slicerCache2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07/relationships/slicerCache" Target="slicerCaches/slicerCache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07/relationships/slicerCache" Target="slicerCaches/slicerCache1.xml"/><Relationship Id="rId30" Type="http://schemas.microsoft.com/office/2007/relationships/slicerCache" Target="slicerCaches/slicerCache4.xml"/><Relationship Id="rId35" Type="http://schemas.microsoft.com/office/2011/relationships/timelineCache" Target="timelineCaches/timelineCache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Adrianor.xlsx]Conso_tot_ELEC!Tab_Evolution_Conso_tot_ELEC(1)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TOTAAL ELEKTRICITEITVERBRUIK PER JAAR </a:t>
            </a:r>
            <a:r>
              <a:rPr lang="fr-FR" baseline="30000"/>
              <a:t>(1)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 w="28575" cap="rnd">
            <a:solidFill>
              <a:schemeClr val="accent4"/>
            </a:solidFill>
            <a:round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Conso_tot_ELEC!$B$3:$B$4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Conso_tot_ELEC!$A$5:$A$8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Conso_tot_ELEC!$B$5:$B$8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E8-4959-AD98-003380EB0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8447168"/>
        <c:axId val="998449248"/>
      </c:lineChart>
      <c:catAx>
        <c:axId val="9984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8449248"/>
        <c:crosses val="autoZero"/>
        <c:auto val="1"/>
        <c:lblAlgn val="ctr"/>
        <c:lblOffset val="100"/>
        <c:noMultiLvlLbl val="0"/>
      </c:catAx>
      <c:valAx>
        <c:axId val="99844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ELECTRICITEITSVERBRUIK</a:t>
                </a:r>
                <a:r>
                  <a:rPr lang="fr-FR" sz="1100" baseline="0"/>
                  <a:t> IN KW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844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Adrianor.xlsx]Conso_tot_GAZ!Tab_histo_cout_conso_tot_GAZ(17)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TOTALE KOSTEN GASVERBRUIK PER JAAR</a:t>
            </a:r>
            <a:r>
              <a:rPr lang="en-US" sz="1400" b="0" baseline="30000"/>
              <a:t>(17)</a:t>
            </a:r>
            <a:endParaRPr lang="en-US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Conso_tot_GAZ!$B$25:$B$26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Conso_tot_GAZ!$A$27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Conso_tot_GAZ!$B$27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1B-4B2C-A537-11A56FA82A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068837680"/>
        <c:axId val="1068826448"/>
      </c:barChart>
      <c:catAx>
        <c:axId val="1068837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8826448"/>
        <c:crosses val="autoZero"/>
        <c:auto val="1"/>
        <c:lblAlgn val="ctr"/>
        <c:lblOffset val="100"/>
        <c:noMultiLvlLbl val="0"/>
      </c:catAx>
      <c:valAx>
        <c:axId val="1068826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8837680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Adrianor.xlsx]Conso_postes_GAZ!Tab_histo_conso_postes_GAZ(18)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baseline="0"/>
              <a:t>GASVERBRUIKS PER ITEM PER JAAR</a:t>
            </a:r>
            <a:r>
              <a:rPr lang="en-US" sz="1400" b="0" baseline="30000"/>
              <a:t>(18)</a:t>
            </a:r>
            <a:endParaRPr lang="en-US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Conso_postes_GAZ!$B$3:$B$4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Conso_postes_GAZ!$A$5:$A$7</c:f>
              <c:strCache>
                <c:ptCount val="3"/>
                <c:pt idx="0">
                  <c:v> Item [1]</c:v>
                </c:pt>
                <c:pt idx="1">
                  <c:v> Item [2]</c:v>
                </c:pt>
                <c:pt idx="2">
                  <c:v> Item [3]</c:v>
                </c:pt>
              </c:strCache>
            </c:strRef>
          </c:cat>
          <c:val>
            <c:numRef>
              <c:f>Conso_postes_GAZ!$B$5:$B$7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87D-4E58-A4E2-93EFEBF90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92902704"/>
        <c:axId val="92914768"/>
      </c:barChart>
      <c:catAx>
        <c:axId val="92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914768"/>
        <c:crosses val="autoZero"/>
        <c:auto val="1"/>
        <c:lblAlgn val="ctr"/>
        <c:lblOffset val="100"/>
        <c:noMultiLvlLbl val="0"/>
      </c:catAx>
      <c:valAx>
        <c:axId val="929147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aseline="0"/>
                  <a:t>GASVERBRUIK IN KW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90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Adrianor.xlsx]Coût_conso_postes_GAZ!Tab_histo_cout_conso_postes_GAZ(19)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KOSTEN VAN GASVERBRUIKS</a:t>
            </a:r>
            <a:r>
              <a:rPr lang="en-US" sz="1400" b="0" baseline="0"/>
              <a:t> PER ITEM PER JAAR</a:t>
            </a:r>
            <a:r>
              <a:rPr lang="en-US" sz="1400" b="0" baseline="30000"/>
              <a:t>(19)</a:t>
            </a:r>
            <a:endParaRPr lang="en-US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Coût_conso_postes_GAZ!$B$3:$B$4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Coût_conso_postes_GAZ!$A$5:$A$7</c:f>
              <c:strCache>
                <c:ptCount val="3"/>
                <c:pt idx="0">
                  <c:v> Kost item [1]</c:v>
                </c:pt>
                <c:pt idx="1">
                  <c:v> Kost item [2]</c:v>
                </c:pt>
                <c:pt idx="2">
                  <c:v> Kost item [3]</c:v>
                </c:pt>
              </c:strCache>
            </c:strRef>
          </c:cat>
          <c:val>
            <c:numRef>
              <c:f>Coût_conso_postes_GAZ!$B$5:$B$7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6-4031-9D63-D1BDB88CA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1061627616"/>
        <c:axId val="930289984"/>
      </c:barChart>
      <c:catAx>
        <c:axId val="106162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0289984"/>
        <c:crosses val="autoZero"/>
        <c:auto val="1"/>
        <c:lblAlgn val="ctr"/>
        <c:lblOffset val="100"/>
        <c:noMultiLvlLbl val="0"/>
      </c:catAx>
      <c:valAx>
        <c:axId val="9302899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KOSTEN</a:t>
                </a:r>
                <a:r>
                  <a:rPr lang="en-US" sz="1100" baseline="0"/>
                  <a:t> VAN GASVERBRUIKS IN </a:t>
                </a:r>
                <a:r>
                  <a:rPr lang="en-US" sz="1100"/>
                  <a:t>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62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Adrianor.xlsx]Evo_conso_postes_GAZ!Tab_evolution_conso_postes_GAZ(20)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GASVERBRUIK PER ITEM PER PERIODE</a:t>
            </a:r>
            <a:r>
              <a:rPr lang="en-US" baseline="30000"/>
              <a:t>(20)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2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3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4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5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6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2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3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4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5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6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2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2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3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4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5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solidFill>
              <a:schemeClr val="accent6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8575" cap="rnd">
            <a:solidFill>
              <a:schemeClr val="accent1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2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8575" cap="rnd">
            <a:solidFill>
              <a:schemeClr val="accent3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8575" cap="rnd">
            <a:solidFill>
              <a:schemeClr val="accent4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8575" cap="rnd">
            <a:solidFill>
              <a:schemeClr val="accent5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8575" cap="rnd">
            <a:solidFill>
              <a:schemeClr val="accent6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8575" cap="rnd">
            <a:solidFill>
              <a:schemeClr val="accent1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8575" cap="rnd">
            <a:solidFill>
              <a:schemeClr val="accent2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accent2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accent3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8575" cap="rnd">
            <a:solidFill>
              <a:schemeClr val="accent4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 w="28575" cap="rnd">
            <a:solidFill>
              <a:schemeClr val="accent5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8575" cap="rnd">
            <a:solidFill>
              <a:schemeClr val="accent6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28575" cap="rnd">
            <a:solidFill>
              <a:schemeClr val="accent1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28575" cap="rnd">
            <a:solidFill>
              <a:schemeClr val="accent2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28575" cap="rnd">
            <a:solidFill>
              <a:schemeClr val="accent3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28575" cap="rnd">
            <a:solidFill>
              <a:schemeClr val="accent4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28575" cap="rnd">
            <a:solidFill>
              <a:schemeClr val="accent5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28575" cap="rnd">
            <a:solidFill>
              <a:schemeClr val="accent6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 w="28575" cap="rnd">
            <a:solidFill>
              <a:schemeClr val="accent1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28575" cap="rnd">
            <a:solidFill>
              <a:schemeClr val="accent2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Evo_conso_postes_GAZ!$B$3:$B$5</c:f>
              <c:strCache>
                <c:ptCount val="1"/>
                <c:pt idx="0">
                  <c:v>2022 -  Item [1]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Evo_conso_postes_GAZ!$A$6:$A$9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Evo_conso_postes_GAZ!$B$6:$B$9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21-4F80-AF46-8626842ABB6E}"/>
            </c:ext>
          </c:extLst>
        </c:ser>
        <c:ser>
          <c:idx val="1"/>
          <c:order val="1"/>
          <c:tx>
            <c:strRef>
              <c:f>Evo_conso_postes_GAZ!$C$3:$C$5</c:f>
              <c:strCache>
                <c:ptCount val="1"/>
                <c:pt idx="0">
                  <c:v>2022 -  Item [2]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Evo_conso_postes_GAZ!$A$6:$A$9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Evo_conso_postes_GAZ!$C$6:$C$9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21-4F80-AF46-8626842ABB6E}"/>
            </c:ext>
          </c:extLst>
        </c:ser>
        <c:ser>
          <c:idx val="2"/>
          <c:order val="2"/>
          <c:tx>
            <c:strRef>
              <c:f>Evo_conso_postes_GAZ!$D$3:$D$5</c:f>
              <c:strCache>
                <c:ptCount val="1"/>
                <c:pt idx="0">
                  <c:v>2022 -  Item [3]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Evo_conso_postes_GAZ!$A$6:$A$9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Evo_conso_postes_GAZ!$D$6:$D$9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21-4F80-AF46-8626842A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631600"/>
        <c:axId val="573640336"/>
      </c:lineChart>
      <c:catAx>
        <c:axId val="57363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640336"/>
        <c:crosses val="autoZero"/>
        <c:auto val="1"/>
        <c:lblAlgn val="ctr"/>
        <c:lblOffset val="100"/>
        <c:noMultiLvlLbl val="0"/>
      </c:catAx>
      <c:valAx>
        <c:axId val="57364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GASVERBRUIKS</a:t>
                </a:r>
                <a:r>
                  <a:rPr lang="en-US" sz="1100" baseline="0"/>
                  <a:t> IN </a:t>
                </a:r>
                <a:r>
                  <a:rPr lang="en-US" sz="1100"/>
                  <a:t> 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6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Adrianor.xlsx]Secteur_conso_postes_GAZ!Tab_secteur_conso_postes_GAZ(21)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VAN  GASVERBRUIK PER ITEM PER</a:t>
            </a:r>
            <a:r>
              <a:rPr lang="en-US" baseline="0"/>
              <a:t> PERIODE</a:t>
            </a:r>
            <a:r>
              <a:rPr lang="en-US" baseline="30000"/>
              <a:t>(21)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%;\ \-\ 0.00%;\ &quot;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2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3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4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5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6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2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3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4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5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6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2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%;\ \-\ 0.00%;\ &quot;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2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3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4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5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6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2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3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4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5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6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2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%;\ \-\ 0.00%;\ &quot;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2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3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4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5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6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2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3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4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5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6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2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Secteur_conso_postes_GAZ!$B$3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E0-49B6-BDEA-CCAAD93389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E0-49B6-BDEA-CCAAD93389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E0-49B6-BDEA-CCAAD93389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Secteur_conso_postes_GAZ!$A$4:$A$6</c:f>
              <c:strCache>
                <c:ptCount val="3"/>
                <c:pt idx="0">
                  <c:v> Item [1]</c:v>
                </c:pt>
                <c:pt idx="1">
                  <c:v> Item [2]</c:v>
                </c:pt>
                <c:pt idx="2">
                  <c:v> Item [3]</c:v>
                </c:pt>
              </c:strCache>
            </c:strRef>
          </c:cat>
          <c:val>
            <c:numRef>
              <c:f>Secteur_conso_postes_GAZ!$B$4:$B$6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5EF7-4740-8B93-1D10D13D50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Adrianor.xlsx]Conso_tot_EAU!Tab_Evolution_conso_tot_EAU(8)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TOTAAL WATERVERBRUIK PER JAAR </a:t>
            </a:r>
            <a:r>
              <a:rPr lang="fr-FR" baseline="30000"/>
              <a:t>(8)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Conso_tot_EAU!$B$3:$B$4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Conso_tot_EAU!$A$5:$A$8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Conso_tot_EAU!$B$5:$B$8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64-4D6B-AD89-5A6461A05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3599152"/>
        <c:axId val="573613296"/>
      </c:lineChart>
      <c:catAx>
        <c:axId val="57359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613296"/>
        <c:crosses val="autoZero"/>
        <c:auto val="1"/>
        <c:lblAlgn val="ctr"/>
        <c:lblOffset val="100"/>
        <c:noMultiLvlLbl val="0"/>
      </c:catAx>
      <c:valAx>
        <c:axId val="57361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aseline="0"/>
                  <a:t>WATERVERBRUIKS IN  M</a:t>
                </a:r>
                <a:r>
                  <a:rPr lang="fr-FR" sz="1100" b="0" i="0" u="none" strike="noStrike" baseline="0">
                    <a:effectLst/>
                  </a:rPr>
                  <a:t>³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359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Adrianor.xlsx]Conso_tot_EAU!Tab_histo_conso_tot_EAU(9)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totaal</a:t>
            </a:r>
            <a:r>
              <a:rPr lang="en-US" sz="1400" b="0" baseline="0"/>
              <a:t> waterverbruik per jaar</a:t>
            </a:r>
            <a:r>
              <a:rPr lang="en-US" sz="1400" b="0"/>
              <a:t> </a:t>
            </a:r>
            <a:r>
              <a:rPr lang="en-US" sz="1400" b="0" baseline="30000"/>
              <a:t>(9)</a:t>
            </a:r>
            <a:endParaRPr lang="en-US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0">
                <a:schemeClr val="accent5"/>
              </a:gs>
              <a:gs pos="75000">
                <a:schemeClr val="accent5">
                  <a:lumMod val="60000"/>
                  <a:lumOff val="40000"/>
                </a:schemeClr>
              </a:gs>
              <a:gs pos="51000">
                <a:schemeClr val="accent5">
                  <a:alpha val="75000"/>
                </a:schemeClr>
              </a:gs>
              <a:gs pos="100000">
                <a:schemeClr val="accent5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chemeClr val="accent5"/>
              </a:gs>
              <a:gs pos="75000">
                <a:schemeClr val="accent5">
                  <a:lumMod val="60000"/>
                  <a:lumOff val="40000"/>
                </a:schemeClr>
              </a:gs>
              <a:gs pos="51000">
                <a:schemeClr val="accent5">
                  <a:alpha val="75000"/>
                </a:schemeClr>
              </a:gs>
              <a:gs pos="100000">
                <a:schemeClr val="accent5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chemeClr val="accent5"/>
              </a:gs>
              <a:gs pos="75000">
                <a:schemeClr val="accent5">
                  <a:lumMod val="60000"/>
                  <a:lumOff val="40000"/>
                </a:schemeClr>
              </a:gs>
              <a:gs pos="51000">
                <a:schemeClr val="accent5">
                  <a:alpha val="75000"/>
                </a:schemeClr>
              </a:gs>
              <a:gs pos="100000">
                <a:schemeClr val="accent5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Conso_tot_EAU!$B$20:$B$21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Conso_tot_EAU!$A$22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Conso_tot_EAU!$B$22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5A9B-4206-84E4-5FB77A3E15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560060144"/>
        <c:axId val="560083024"/>
      </c:barChart>
      <c:catAx>
        <c:axId val="56006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083024"/>
        <c:crosses val="autoZero"/>
        <c:auto val="1"/>
        <c:lblAlgn val="ctr"/>
        <c:lblOffset val="100"/>
        <c:noMultiLvlLbl val="0"/>
      </c:catAx>
      <c:valAx>
        <c:axId val="5600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006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Adrianor.xlsx]Conso_tot_EAU!Tab_histo_conso_postes_EAU(10)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Totale kosten waterverbruik per jaar </a:t>
            </a:r>
            <a:r>
              <a:rPr lang="en-US" sz="1400" b="0" baseline="30000"/>
              <a:t>(10)</a:t>
            </a:r>
            <a:endParaRPr lang="en-US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0">
                <a:schemeClr val="accent5"/>
              </a:gs>
              <a:gs pos="75000">
                <a:schemeClr val="accent5">
                  <a:lumMod val="60000"/>
                  <a:lumOff val="40000"/>
                </a:schemeClr>
              </a:gs>
              <a:gs pos="51000">
                <a:schemeClr val="accent5">
                  <a:alpha val="75000"/>
                </a:schemeClr>
              </a:gs>
              <a:gs pos="100000">
                <a:schemeClr val="accent5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chemeClr val="accent5"/>
              </a:gs>
              <a:gs pos="75000">
                <a:schemeClr val="accent5">
                  <a:lumMod val="60000"/>
                  <a:lumOff val="40000"/>
                </a:schemeClr>
              </a:gs>
              <a:gs pos="51000">
                <a:schemeClr val="accent5">
                  <a:alpha val="75000"/>
                </a:schemeClr>
              </a:gs>
              <a:gs pos="100000">
                <a:schemeClr val="accent5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chemeClr val="accent5"/>
              </a:gs>
              <a:gs pos="75000">
                <a:schemeClr val="accent5">
                  <a:lumMod val="60000"/>
                  <a:lumOff val="40000"/>
                </a:schemeClr>
              </a:gs>
              <a:gs pos="51000">
                <a:schemeClr val="accent5">
                  <a:alpha val="75000"/>
                </a:schemeClr>
              </a:gs>
              <a:gs pos="100000">
                <a:schemeClr val="accent5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Conso_tot_EAU!$B$25:$B$26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Conso_tot_EAU!$A$27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Conso_tot_EAU!$B$27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23-466A-8C52-C840C91B19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254376304"/>
        <c:axId val="254370896"/>
      </c:barChart>
      <c:catAx>
        <c:axId val="25437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4370896"/>
        <c:crosses val="autoZero"/>
        <c:auto val="1"/>
        <c:lblAlgn val="ctr"/>
        <c:lblOffset val="100"/>
        <c:noMultiLvlLbl val="0"/>
      </c:catAx>
      <c:valAx>
        <c:axId val="254370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43763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Adrianor.xlsx]Conso_postes_EAU!Tab_histo_conso_postes_EAU(11)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/>
              <a:t>WATERVERBRUIKS PER ITEM PER JAAR</a:t>
            </a:r>
            <a:r>
              <a:rPr lang="fr-FR" sz="1400" b="0" baseline="30000"/>
              <a:t>(11)</a:t>
            </a:r>
            <a:endParaRPr lang="fr-FR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0">
                <a:schemeClr val="accent5"/>
              </a:gs>
              <a:gs pos="75000">
                <a:schemeClr val="accent5">
                  <a:lumMod val="60000"/>
                  <a:lumOff val="40000"/>
                </a:schemeClr>
              </a:gs>
              <a:gs pos="51000">
                <a:schemeClr val="accent5">
                  <a:alpha val="75000"/>
                </a:schemeClr>
              </a:gs>
              <a:gs pos="100000">
                <a:schemeClr val="accent5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chemeClr val="accent5"/>
              </a:gs>
              <a:gs pos="75000">
                <a:schemeClr val="accent5">
                  <a:lumMod val="60000"/>
                  <a:lumOff val="40000"/>
                </a:schemeClr>
              </a:gs>
              <a:gs pos="51000">
                <a:schemeClr val="accent5">
                  <a:alpha val="75000"/>
                </a:schemeClr>
              </a:gs>
              <a:gs pos="100000">
                <a:schemeClr val="accent5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chemeClr val="accent5"/>
              </a:gs>
              <a:gs pos="75000">
                <a:schemeClr val="accent5">
                  <a:lumMod val="60000"/>
                  <a:lumOff val="40000"/>
                </a:schemeClr>
              </a:gs>
              <a:gs pos="51000">
                <a:schemeClr val="accent5">
                  <a:alpha val="75000"/>
                </a:schemeClr>
              </a:gs>
              <a:gs pos="100000">
                <a:schemeClr val="accent5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Conso_postes_EAU!$B$3:$B$4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Conso_postes_EAU!$A$5:$A$7</c:f>
              <c:strCache>
                <c:ptCount val="3"/>
                <c:pt idx="0">
                  <c:v> Item [1]</c:v>
                </c:pt>
                <c:pt idx="1">
                  <c:v> Item [2]</c:v>
                </c:pt>
                <c:pt idx="2">
                  <c:v> Item [3]</c:v>
                </c:pt>
              </c:strCache>
            </c:strRef>
          </c:cat>
          <c:val>
            <c:numRef>
              <c:f>Conso_postes_EAU!$B$5:$B$7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5807-4BF4-AD62-2A8A81293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560075952"/>
        <c:axId val="560065136"/>
      </c:barChart>
      <c:catAx>
        <c:axId val="5600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065136"/>
        <c:crosses val="autoZero"/>
        <c:auto val="1"/>
        <c:lblAlgn val="ctr"/>
        <c:lblOffset val="100"/>
        <c:noMultiLvlLbl val="0"/>
      </c:catAx>
      <c:valAx>
        <c:axId val="5600651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aseline="0"/>
                  <a:t>WATERVERBRUIKS IN M</a:t>
                </a:r>
                <a:r>
                  <a:rPr lang="fr-FR" sz="1100" b="0" i="0" u="none" strike="noStrike" cap="all" baseline="0">
                    <a:effectLst/>
                  </a:rPr>
                  <a:t>³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07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Adrianor.xlsx]Cout_conso_postes_EAU!Tab_histo_cout_conso_postes_EAU(12)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baseline="0"/>
              <a:t>KOSTEN VAN WATERVERBRUIKS PER ITEM PER JAAR </a:t>
            </a:r>
            <a:r>
              <a:rPr lang="fr-FR" sz="1400" b="0" baseline="30000"/>
              <a:t>(12)</a:t>
            </a:r>
            <a:endParaRPr lang="fr-FR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0">
                <a:schemeClr val="accent5"/>
              </a:gs>
              <a:gs pos="75000">
                <a:schemeClr val="accent5">
                  <a:lumMod val="60000"/>
                  <a:lumOff val="40000"/>
                </a:schemeClr>
              </a:gs>
              <a:gs pos="51000">
                <a:schemeClr val="accent5">
                  <a:alpha val="75000"/>
                </a:schemeClr>
              </a:gs>
              <a:gs pos="100000">
                <a:schemeClr val="accent5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chemeClr val="accent5"/>
              </a:gs>
              <a:gs pos="75000">
                <a:schemeClr val="accent5">
                  <a:lumMod val="60000"/>
                  <a:lumOff val="40000"/>
                </a:schemeClr>
              </a:gs>
              <a:gs pos="51000">
                <a:schemeClr val="accent5">
                  <a:alpha val="75000"/>
                </a:schemeClr>
              </a:gs>
              <a:gs pos="100000">
                <a:schemeClr val="accent5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chemeClr val="accent5"/>
              </a:gs>
              <a:gs pos="75000">
                <a:schemeClr val="accent5">
                  <a:lumMod val="60000"/>
                  <a:lumOff val="40000"/>
                </a:schemeClr>
              </a:gs>
              <a:gs pos="51000">
                <a:schemeClr val="accent5">
                  <a:alpha val="75000"/>
                </a:schemeClr>
              </a:gs>
              <a:gs pos="100000">
                <a:schemeClr val="accent5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flip="none" rotWithShape="1">
            <a:gsLst>
              <a:gs pos="0">
                <a:schemeClr val="accent6"/>
              </a:gs>
              <a:gs pos="75000">
                <a:schemeClr val="accent6">
                  <a:lumMod val="60000"/>
                  <a:lumOff val="40000"/>
                </a:schemeClr>
              </a:gs>
              <a:gs pos="51000">
                <a:schemeClr val="accent6">
                  <a:alpha val="75000"/>
                </a:schemeClr>
              </a:gs>
              <a:gs pos="100000">
                <a:schemeClr val="accent6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Cout_conso_postes_EAU!$B$3:$B$4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Cout_conso_postes_EAU!$A$5:$A$7</c:f>
              <c:strCache>
                <c:ptCount val="3"/>
                <c:pt idx="0">
                  <c:v> Kost item [1]</c:v>
                </c:pt>
                <c:pt idx="1">
                  <c:v> Kost item [2]</c:v>
                </c:pt>
                <c:pt idx="2">
                  <c:v> Kost item [3]</c:v>
                </c:pt>
              </c:strCache>
            </c:strRef>
          </c:cat>
          <c:val>
            <c:numRef>
              <c:f>Cout_conso_postes_EAU!$B$5:$B$7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BC-4EDC-A8CF-B9609931D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426551264"/>
        <c:axId val="426539616"/>
      </c:barChart>
      <c:catAx>
        <c:axId val="4265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539616"/>
        <c:crosses val="autoZero"/>
        <c:auto val="1"/>
        <c:lblAlgn val="ctr"/>
        <c:lblOffset val="100"/>
        <c:noMultiLvlLbl val="0"/>
      </c:catAx>
      <c:valAx>
        <c:axId val="4265396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aseline="0"/>
                  <a:t>KOSTEN VAN WATERVERBRUIKS IN €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55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Adrianor.xlsx]Conso_tot_ELEC!Tab_histo_Conso_Tot_ELEC(2)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baseline="0"/>
              <a:t>TOTAAL ELEKTRICITEITVERBRUIK PER JAAR </a:t>
            </a:r>
            <a:r>
              <a:rPr lang="fr-FR" sz="1400" b="0" baseline="30000"/>
              <a:t>(2)</a:t>
            </a:r>
            <a:endParaRPr lang="fr-FR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circle"/>
          <c:size val="6"/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circle"/>
          <c:size val="6"/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chemeClr val="accent4"/>
              </a:gs>
              <a:gs pos="75000">
                <a:schemeClr val="accent4">
                  <a:lumMod val="60000"/>
                  <a:lumOff val="40000"/>
                </a:schemeClr>
              </a:gs>
              <a:gs pos="51000">
                <a:schemeClr val="accent4">
                  <a:alpha val="75000"/>
                </a:schemeClr>
              </a:gs>
              <a:gs pos="100000">
                <a:schemeClr val="accent4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chemeClr val="accent4"/>
              </a:gs>
              <a:gs pos="75000">
                <a:schemeClr val="accent4">
                  <a:lumMod val="60000"/>
                  <a:lumOff val="40000"/>
                </a:schemeClr>
              </a:gs>
              <a:gs pos="51000">
                <a:schemeClr val="accent4">
                  <a:alpha val="75000"/>
                </a:schemeClr>
              </a:gs>
              <a:gs pos="100000">
                <a:schemeClr val="accent4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Conso_tot_ELEC!$B$20:$B$21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Conso_tot_ELEC!$A$22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Conso_tot_ELEC!$B$22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3939-48A9-812E-44C918BD76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055017616"/>
        <c:axId val="1055018032"/>
      </c:barChart>
      <c:catAx>
        <c:axId val="105501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5018032"/>
        <c:crosses val="autoZero"/>
        <c:auto val="1"/>
        <c:lblAlgn val="ctr"/>
        <c:lblOffset val="100"/>
        <c:noMultiLvlLbl val="0"/>
      </c:catAx>
      <c:valAx>
        <c:axId val="10550180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5501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Adrianor.xlsx]Evo_conso_postes_EAU!Tab_evolution_conso_postes_EAU(13)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WATERVERBRUIKS PER</a:t>
            </a:r>
            <a:r>
              <a:rPr lang="en-US" baseline="0"/>
              <a:t> ITEMP PER PERIODE</a:t>
            </a:r>
            <a:r>
              <a:rPr lang="en-US" baseline="30000"/>
              <a:t>(13)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 w="28575" cap="rnd">
            <a:solidFill>
              <a:schemeClr val="accent6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/>
          </a:solidFill>
          <a:ln w="28575" cap="rnd">
            <a:solidFill>
              <a:schemeClr val="accent5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 w="28575" cap="rnd">
            <a:solidFill>
              <a:schemeClr val="accent4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/>
          </a:solidFill>
          <a:ln w="28575" cap="rnd">
            <a:solidFill>
              <a:schemeClr val="accent6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 w="28575" cap="rnd">
            <a:solidFill>
              <a:schemeClr val="accent5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 w="28575" cap="rnd">
            <a:solidFill>
              <a:schemeClr val="accent4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/>
          </a:solidFill>
          <a:ln w="28575" cap="rnd">
            <a:solidFill>
              <a:schemeClr val="accent6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/>
          </a:solidFill>
          <a:ln w="28575" cap="rnd">
            <a:solidFill>
              <a:schemeClr val="accent5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/>
          </a:solidFill>
          <a:ln w="28575" cap="rnd">
            <a:solidFill>
              <a:schemeClr val="accent4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6"/>
          </a:solidFill>
          <a:ln w="28575" cap="rnd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6"/>
          </a:solidFill>
          <a:ln w="28575" cap="rnd">
            <a:solidFill>
              <a:schemeClr val="accent5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6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6"/>
          </a:solidFill>
          <a:ln w="28575" cap="rnd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6"/>
          </a:solidFill>
          <a:ln w="28575" cap="rnd">
            <a:solidFill>
              <a:schemeClr val="accent5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/>
          </a:solidFill>
          <a:ln w="28575" cap="rnd">
            <a:solidFill>
              <a:schemeClr val="accent4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6"/>
          </a:solidFill>
          <a:ln w="28575" cap="rnd">
            <a:solidFill>
              <a:schemeClr val="accent6">
                <a:lumMod val="70000"/>
                <a:lumOff val="3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6"/>
          </a:solidFill>
          <a:ln w="28575" cap="rnd">
            <a:solidFill>
              <a:schemeClr val="accent5">
                <a:lumMod val="70000"/>
                <a:lumOff val="3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6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6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6"/>
          </a:solidFill>
          <a:ln w="28575" cap="rnd">
            <a:solidFill>
              <a:schemeClr val="accent6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6"/>
          </a:solidFill>
          <a:ln w="28575" cap="rnd">
            <a:solidFill>
              <a:schemeClr val="accent5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6"/>
          </a:solidFill>
          <a:ln w="28575" cap="rnd">
            <a:solidFill>
              <a:schemeClr val="accent4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6"/>
          </a:solidFill>
          <a:ln w="28575" cap="rnd">
            <a:solidFill>
              <a:schemeClr val="accent6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6"/>
          </a:solidFill>
          <a:ln w="28575" cap="rnd">
            <a:solidFill>
              <a:schemeClr val="accent5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6"/>
          </a:solidFill>
          <a:ln w="28575" cap="rnd">
            <a:solidFill>
              <a:schemeClr val="accent4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6"/>
          </a:solidFill>
          <a:ln w="28575" cap="rnd">
            <a:solidFill>
              <a:schemeClr val="accent6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6"/>
          </a:solidFill>
          <a:ln w="28575" cap="rnd">
            <a:solidFill>
              <a:schemeClr val="accent5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6"/>
          </a:solidFill>
          <a:ln w="28575" cap="rnd">
            <a:solidFill>
              <a:schemeClr val="accent4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6"/>
          </a:solidFill>
          <a:ln w="28575" cap="rnd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6"/>
          </a:solidFill>
          <a:ln w="28575" cap="rnd">
            <a:solidFill>
              <a:schemeClr val="accent5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6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6"/>
          </a:solidFill>
          <a:ln w="28575" cap="rnd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6"/>
          </a:solidFill>
          <a:ln w="28575" cap="rnd">
            <a:solidFill>
              <a:schemeClr val="accent5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6"/>
          </a:solidFill>
          <a:ln w="28575" cap="rnd">
            <a:solidFill>
              <a:schemeClr val="accent4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6"/>
          </a:solidFill>
          <a:ln w="28575" cap="rnd">
            <a:solidFill>
              <a:schemeClr val="accent6">
                <a:lumMod val="70000"/>
                <a:lumOff val="3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6"/>
          </a:solidFill>
          <a:ln w="28575" cap="rnd">
            <a:solidFill>
              <a:schemeClr val="accent5">
                <a:lumMod val="70000"/>
                <a:lumOff val="3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6"/>
          </a:solidFill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6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6"/>
          </a:solidFill>
          <a:ln w="28575" cap="rnd">
            <a:solidFill>
              <a:schemeClr val="accent6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6"/>
          </a:solidFill>
          <a:ln w="28575" cap="rnd">
            <a:solidFill>
              <a:schemeClr val="accent5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6"/>
          </a:solidFill>
          <a:ln w="28575" cap="rnd">
            <a:solidFill>
              <a:schemeClr val="accent4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6"/>
          </a:solidFill>
          <a:ln w="28575" cap="rnd">
            <a:solidFill>
              <a:schemeClr val="accent6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6"/>
          </a:solidFill>
          <a:ln w="28575" cap="rnd">
            <a:solidFill>
              <a:schemeClr val="accent5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6"/>
          </a:solidFill>
          <a:ln w="28575" cap="rnd">
            <a:solidFill>
              <a:schemeClr val="accent4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6"/>
          </a:solidFill>
          <a:ln w="28575" cap="rnd">
            <a:solidFill>
              <a:schemeClr val="accent6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6"/>
          </a:solidFill>
          <a:ln w="28575" cap="rnd">
            <a:solidFill>
              <a:schemeClr val="accent5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6"/>
          </a:solidFill>
          <a:ln w="28575" cap="rnd">
            <a:solidFill>
              <a:schemeClr val="accent4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6"/>
          </a:solidFill>
          <a:ln w="28575" cap="rnd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6"/>
          </a:solidFill>
          <a:ln w="28575" cap="rnd">
            <a:solidFill>
              <a:schemeClr val="accent5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6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6"/>
          </a:solidFill>
          <a:ln w="28575" cap="rnd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6"/>
          </a:solidFill>
          <a:ln w="28575" cap="rnd">
            <a:solidFill>
              <a:schemeClr val="accent5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6"/>
          </a:solidFill>
          <a:ln w="28575" cap="rnd">
            <a:solidFill>
              <a:schemeClr val="accent4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6"/>
          </a:solidFill>
          <a:ln w="28575" cap="rnd">
            <a:solidFill>
              <a:schemeClr val="accent6">
                <a:lumMod val="70000"/>
                <a:lumOff val="3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6"/>
          </a:solidFill>
          <a:ln w="28575" cap="rnd">
            <a:solidFill>
              <a:schemeClr val="accent5">
                <a:lumMod val="70000"/>
                <a:lumOff val="3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6"/>
          </a:solidFill>
          <a:ln w="28575" cap="rnd">
            <a:solidFill>
              <a:schemeClr val="accent6"/>
            </a:solidFill>
            <a:round/>
          </a:ln>
          <a:effectLst/>
        </c:spPr>
        <c:marker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Evo_conso_postes_EAU!$B$3:$B$5</c:f>
              <c:strCache>
                <c:ptCount val="1"/>
                <c:pt idx="0">
                  <c:v>2022 -  Item [1]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Evo_conso_postes_EAU!$A$6:$A$9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Evo_conso_postes_EAU!$B$6:$B$9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7-49E3-B9E6-01BBA7175AB9}"/>
            </c:ext>
          </c:extLst>
        </c:ser>
        <c:ser>
          <c:idx val="1"/>
          <c:order val="1"/>
          <c:tx>
            <c:strRef>
              <c:f>Evo_conso_postes_EAU!$C$3:$C$5</c:f>
              <c:strCache>
                <c:ptCount val="1"/>
                <c:pt idx="0">
                  <c:v>2022 -  Item [2]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Evo_conso_postes_EAU!$A$6:$A$9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Evo_conso_postes_EAU!$C$6:$C$9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E27-49E3-B9E6-01BBA7175AB9}"/>
            </c:ext>
          </c:extLst>
        </c:ser>
        <c:ser>
          <c:idx val="2"/>
          <c:order val="2"/>
          <c:tx>
            <c:strRef>
              <c:f>Evo_conso_postes_EAU!$D$3:$D$5</c:f>
              <c:strCache>
                <c:ptCount val="1"/>
                <c:pt idx="0">
                  <c:v>2022 -  Item [3]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Evo_conso_postes_EAU!$A$6:$A$9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Evo_conso_postes_EAU!$D$6:$D$9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27-49E3-B9E6-01BBA7175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99008"/>
        <c:axId val="88702336"/>
      </c:lineChart>
      <c:catAx>
        <c:axId val="886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702336"/>
        <c:crosses val="autoZero"/>
        <c:auto val="1"/>
        <c:lblAlgn val="ctr"/>
        <c:lblOffset val="100"/>
        <c:noMultiLvlLbl val="0"/>
      </c:catAx>
      <c:valAx>
        <c:axId val="8870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WATERVERBRUIKS</a:t>
                </a:r>
                <a:r>
                  <a:rPr lang="en-US" sz="1100" baseline="0"/>
                  <a:t> IN</a:t>
                </a:r>
                <a:r>
                  <a:rPr lang="en-US" sz="1100"/>
                  <a:t> M³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69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Adrianor.xlsx]Secteur_conso_postes_EAU!Tab_secteur_conso_postes_EAU(14)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VAN WATERVERBRUIKS</a:t>
            </a:r>
            <a:r>
              <a:rPr lang="en-US" baseline="0"/>
              <a:t> PER ITEM PER PERIODE</a:t>
            </a:r>
            <a:r>
              <a:rPr lang="en-US" baseline="30000"/>
              <a:t>(14)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%;\ \-\ 0%;\ &quot;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2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3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4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5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6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2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3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4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5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6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2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%;\ \-\ 0%;\ &quot;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2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3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4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5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6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2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3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4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5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6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2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%;\ \-\ 0%;\ &quot;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2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3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4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5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6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2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3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4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5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6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2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Secteur_conso_postes_EAU!$B$3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69-4AA6-84BA-9CA348A199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69-4AA6-84BA-9CA348A199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269-4AA6-84BA-9CA348A199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Secteur_conso_postes_EAU!$A$4:$A$6</c:f>
              <c:strCache>
                <c:ptCount val="3"/>
                <c:pt idx="0">
                  <c:v> Item [1]</c:v>
                </c:pt>
                <c:pt idx="1">
                  <c:v> Item [2]</c:v>
                </c:pt>
                <c:pt idx="2">
                  <c:v> Item [3]</c:v>
                </c:pt>
              </c:strCache>
            </c:strRef>
          </c:cat>
          <c:val>
            <c:numRef>
              <c:f>Secteur_conso_postes_EAU!$B$4:$B$6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88A-4B8C-9F56-C6FB374A25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Adrianor.xlsx]Conso_tot_ELEC!Tab_histo_Cout_Conso_Tot_ELEC(3)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baseline="0"/>
              <a:t>TOTALE KOSTEN ELEKTRICITEITVERBRUIK PER JAAR </a:t>
            </a:r>
            <a:r>
              <a:rPr lang="en-US" sz="1400" b="0" baseline="30000"/>
              <a:t>(3)</a:t>
            </a:r>
            <a:endParaRPr lang="en-US" sz="1400" b="0"/>
          </a:p>
        </c:rich>
      </c:tx>
      <c:layout>
        <c:manualLayout>
          <c:xMode val="edge"/>
          <c:yMode val="edge"/>
          <c:x val="0.1173281213071115"/>
          <c:y val="2.265238955463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chemeClr val="accent4"/>
              </a:gs>
              <a:gs pos="75000">
                <a:schemeClr val="accent4">
                  <a:lumMod val="60000"/>
                  <a:lumOff val="40000"/>
                </a:schemeClr>
              </a:gs>
              <a:gs pos="51000">
                <a:schemeClr val="accent4">
                  <a:alpha val="75000"/>
                </a:schemeClr>
              </a:gs>
              <a:gs pos="100000">
                <a:schemeClr val="accent4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Conso_tot_ELEC!$B$25:$B$26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Conso_tot_ELEC!$A$27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Conso_tot_ELEC!$B$27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5-4997-835F-C3FF3BAFB9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175824384"/>
        <c:axId val="1175825216"/>
      </c:barChart>
      <c:catAx>
        <c:axId val="117582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5825216"/>
        <c:crosses val="autoZero"/>
        <c:auto val="1"/>
        <c:lblAlgn val="ctr"/>
        <c:lblOffset val="100"/>
        <c:noMultiLvlLbl val="0"/>
      </c:catAx>
      <c:valAx>
        <c:axId val="1175825216"/>
        <c:scaling>
          <c:orientation val="minMax"/>
        </c:scaling>
        <c:delete val="1"/>
        <c:axPos val="l"/>
        <c:numFmt formatCode="#\ ##0.00\ &quot;€&quot;" sourceLinked="1"/>
        <c:majorTickMark val="none"/>
        <c:minorTickMark val="none"/>
        <c:tickLblPos val="nextTo"/>
        <c:crossAx val="117582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Adrianor.xlsx]Conso_Postes_ELEC!Tab_histo_conso_postes_ELEC(4)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baseline="0"/>
              <a:t>ELEKTRICITEITSVERBRUIK PER ITEM PER JAAR </a:t>
            </a:r>
            <a:r>
              <a:rPr lang="fr-FR" sz="1400" b="0" baseline="30000"/>
              <a:t>(4)</a:t>
            </a:r>
            <a:endParaRPr lang="fr-FR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chemeClr val="accent4"/>
              </a:gs>
              <a:gs pos="75000">
                <a:schemeClr val="accent4">
                  <a:lumMod val="60000"/>
                  <a:lumOff val="40000"/>
                </a:schemeClr>
              </a:gs>
              <a:gs pos="51000">
                <a:schemeClr val="accent4">
                  <a:alpha val="75000"/>
                </a:schemeClr>
              </a:gs>
              <a:gs pos="100000">
                <a:schemeClr val="accent4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Conso_Postes_ELEC!$B$3:$B$4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Conso_Postes_ELEC!$A$5:$A$7</c:f>
              <c:strCache>
                <c:ptCount val="3"/>
                <c:pt idx="0">
                  <c:v> Item [1]</c:v>
                </c:pt>
                <c:pt idx="1">
                  <c:v> Item [2]</c:v>
                </c:pt>
                <c:pt idx="2">
                  <c:v> Item [3] </c:v>
                </c:pt>
              </c:strCache>
            </c:strRef>
          </c:cat>
          <c:val>
            <c:numRef>
              <c:f>Conso_Postes_ELEC!$B$5:$B$7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613-4C4E-852F-36F1E54B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1213731968"/>
        <c:axId val="1213719488"/>
      </c:barChart>
      <c:catAx>
        <c:axId val="121373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3719488"/>
        <c:crosses val="autoZero"/>
        <c:auto val="1"/>
        <c:lblAlgn val="ctr"/>
        <c:lblOffset val="100"/>
        <c:noMultiLvlLbl val="0"/>
      </c:catAx>
      <c:valAx>
        <c:axId val="1213719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ELEKTRICITEITSVERBRUIK</a:t>
                </a:r>
                <a:r>
                  <a:rPr lang="fr-FR" sz="1100" baseline="0"/>
                  <a:t> IN KW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373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Adrianor.xlsx]Coût_Conso_Postes_ELEC!Tab_histo_cout_conso_postes_ELEC(5)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/>
              <a:t>KOSTEN VAN ELEKTRICITEITSVERBRUIK PER ITEM PER JAAR</a:t>
            </a:r>
            <a:r>
              <a:rPr lang="fr-FR" sz="1400" b="0" baseline="0"/>
              <a:t> </a:t>
            </a:r>
            <a:r>
              <a:rPr lang="fr-FR" sz="1400" b="0" baseline="30000"/>
              <a:t>(5)</a:t>
            </a:r>
            <a:endParaRPr lang="fr-FR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chemeClr val="accent4"/>
              </a:gs>
              <a:gs pos="75000">
                <a:schemeClr val="accent4">
                  <a:lumMod val="60000"/>
                  <a:lumOff val="40000"/>
                </a:schemeClr>
              </a:gs>
              <a:gs pos="51000">
                <a:schemeClr val="accent4">
                  <a:alpha val="75000"/>
                </a:schemeClr>
              </a:gs>
              <a:gs pos="100000">
                <a:schemeClr val="accent4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Coût_Conso_Postes_ELEC!$B$3:$B$4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Coût_Conso_Postes_ELEC!$A$5:$A$7</c:f>
              <c:strCache>
                <c:ptCount val="3"/>
                <c:pt idx="0">
                  <c:v> Kost Item [1]</c:v>
                </c:pt>
                <c:pt idx="1">
                  <c:v> Kost item [2]</c:v>
                </c:pt>
                <c:pt idx="2">
                  <c:v> Kost item [3]</c:v>
                </c:pt>
              </c:strCache>
            </c:strRef>
          </c:cat>
          <c:val>
            <c:numRef>
              <c:f>Coût_Conso_Postes_ELEC!$B$5:$B$7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3-4BE9-A5C7-4882E4C2E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1055019696"/>
        <c:axId val="1055017200"/>
      </c:barChart>
      <c:catAx>
        <c:axId val="105501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5017200"/>
        <c:crosses val="autoZero"/>
        <c:auto val="1"/>
        <c:lblAlgn val="ctr"/>
        <c:lblOffset val="100"/>
        <c:noMultiLvlLbl val="0"/>
      </c:catAx>
      <c:valAx>
        <c:axId val="10550172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KOSTEN</a:t>
                </a:r>
                <a:r>
                  <a:rPr lang="en-US" sz="1100" baseline="0"/>
                  <a:t> VAN ELEKTRICITEITSVERBRUIK IN</a:t>
                </a:r>
                <a:r>
                  <a:rPr lang="en-US" sz="1100"/>
                  <a:t>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501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Adrianor.xlsx]Evo_Conso_Postes_ELEC!Tab_Evolution_Conso_Postes_ELEC(6)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ELEKTRICITEITSVERBRUIK PER ITEM</a:t>
            </a:r>
            <a:r>
              <a:rPr lang="fr-FR" baseline="0"/>
              <a:t> PER PERIODE </a:t>
            </a:r>
            <a:r>
              <a:rPr lang="fr-FR" baseline="30000"/>
              <a:t>(6)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 w="28575" cap="rnd">
            <a:solidFill>
              <a:schemeClr val="accent2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2"/>
          </a:solidFill>
          <a:ln w="28575" cap="rnd">
            <a:solidFill>
              <a:schemeClr val="accent4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2"/>
          </a:solidFill>
          <a:ln w="28575" cap="rnd">
            <a:solidFill>
              <a:schemeClr val="accent6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 w="28575" cap="rnd">
            <a:solidFill>
              <a:schemeClr val="accent2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 w="28575" cap="rnd">
            <a:solidFill>
              <a:schemeClr val="accent4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 w="28575" cap="rnd">
            <a:solidFill>
              <a:schemeClr val="accent6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2"/>
          </a:solidFill>
          <a:ln w="28575" cap="rnd">
            <a:solidFill>
              <a:schemeClr val="accent2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2"/>
          </a:solidFill>
          <a:ln w="28575" cap="rnd">
            <a:solidFill>
              <a:schemeClr val="accent4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2"/>
          </a:solidFill>
          <a:ln w="28575" cap="rnd">
            <a:solidFill>
              <a:schemeClr val="accent6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2"/>
          </a:solidFill>
          <a:ln w="28575" cap="rnd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2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2"/>
          </a:solidFill>
          <a:ln w="28575" cap="rnd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2"/>
          </a:solidFill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/>
          </a:solidFill>
          <a:ln w="28575" cap="rnd">
            <a:solidFill>
              <a:schemeClr val="accent4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2"/>
          </a:solidFill>
          <a:ln w="28575" cap="rnd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2"/>
          </a:solidFill>
          <a:ln w="28575" cap="rnd">
            <a:solidFill>
              <a:schemeClr val="accent2">
                <a:lumMod val="70000"/>
                <a:lumOff val="3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  <a:ln w="28575" cap="rnd">
            <a:solidFill>
              <a:schemeClr val="accent4">
                <a:lumMod val="70000"/>
                <a:lumOff val="3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2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2"/>
          </a:solidFill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2"/>
          </a:solidFill>
          <a:ln w="28575" cap="rnd">
            <a:solidFill>
              <a:schemeClr val="accent2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2"/>
          </a:solidFill>
          <a:ln w="28575" cap="rnd">
            <a:solidFill>
              <a:schemeClr val="accent4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2"/>
          </a:solidFill>
          <a:ln w="28575" cap="rnd">
            <a:solidFill>
              <a:schemeClr val="accent6">
                <a:lumMod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2"/>
          </a:solidFill>
          <a:ln w="28575" cap="rnd">
            <a:solidFill>
              <a:schemeClr val="accent2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2"/>
          </a:solidFill>
          <a:ln w="28575" cap="rnd">
            <a:solidFill>
              <a:schemeClr val="accent4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2"/>
          </a:solidFill>
          <a:ln w="28575" cap="rnd">
            <a:solidFill>
              <a:schemeClr val="accent6">
                <a:lumMod val="80000"/>
                <a:lumOff val="2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2"/>
          </a:solidFill>
          <a:ln w="28575" cap="rnd">
            <a:solidFill>
              <a:schemeClr val="accent2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2"/>
          </a:solidFill>
          <a:ln w="28575" cap="rnd">
            <a:solidFill>
              <a:schemeClr val="accent4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2"/>
          </a:solidFill>
          <a:ln w="28575" cap="rnd">
            <a:solidFill>
              <a:schemeClr val="accent6">
                <a:lumMod val="8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2"/>
          </a:solidFill>
          <a:ln w="28575" cap="rnd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2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2"/>
          </a:solidFill>
          <a:ln w="28575" cap="rnd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2"/>
          </a:solidFill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2"/>
          </a:solidFill>
          <a:ln w="28575" cap="rnd">
            <a:solidFill>
              <a:schemeClr val="accent4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2"/>
          </a:solidFill>
          <a:ln w="28575" cap="rnd">
            <a:solidFill>
              <a:schemeClr val="accent6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2"/>
          </a:solidFill>
          <a:ln w="28575" cap="rnd">
            <a:solidFill>
              <a:schemeClr val="accent2">
                <a:lumMod val="70000"/>
                <a:lumOff val="3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2"/>
          </a:solidFill>
          <a:ln w="28575" cap="rnd">
            <a:solidFill>
              <a:schemeClr val="accent4">
                <a:lumMod val="70000"/>
                <a:lumOff val="3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2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Evo_Conso_Postes_ELEC!$B$3:$B$5</c:f>
              <c:strCache>
                <c:ptCount val="1"/>
                <c:pt idx="0">
                  <c:v>2022 -  Item [1]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Evo_Conso_Postes_ELEC!$A$6:$A$9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Evo_Conso_Postes_ELEC!$B$6:$B$9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28-4EFF-B92F-F63A87663264}"/>
            </c:ext>
          </c:extLst>
        </c:ser>
        <c:ser>
          <c:idx val="1"/>
          <c:order val="1"/>
          <c:tx>
            <c:strRef>
              <c:f>Evo_Conso_Postes_ELEC!$C$3:$C$5</c:f>
              <c:strCache>
                <c:ptCount val="1"/>
                <c:pt idx="0">
                  <c:v>2022 -  Item [2]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Evo_Conso_Postes_ELEC!$A$6:$A$9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Evo_Conso_Postes_ELEC!$C$6:$C$9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28-4EFF-B92F-F63A87663264}"/>
            </c:ext>
          </c:extLst>
        </c:ser>
        <c:ser>
          <c:idx val="2"/>
          <c:order val="2"/>
          <c:tx>
            <c:strRef>
              <c:f>Evo_Conso_Postes_ELEC!$D$3:$D$5</c:f>
              <c:strCache>
                <c:ptCount val="1"/>
                <c:pt idx="0">
                  <c:v>2022 -  Item [3]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Evo_Conso_Postes_ELEC!$A$6:$A$9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Evo_Conso_Postes_ELEC!$D$6:$D$9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28-4EFF-B92F-F63A87663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733216"/>
        <c:axId val="1213732800"/>
      </c:lineChart>
      <c:catAx>
        <c:axId val="121373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3732800"/>
        <c:crosses val="autoZero"/>
        <c:auto val="1"/>
        <c:lblAlgn val="ctr"/>
        <c:lblOffset val="100"/>
        <c:noMultiLvlLbl val="0"/>
      </c:catAx>
      <c:valAx>
        <c:axId val="121373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Consommation</a:t>
                </a:r>
                <a:r>
                  <a:rPr lang="fr-FR" sz="1100" baseline="0"/>
                  <a:t> d'électricité en kw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373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Adrianor.xlsx]Secteur_Conso_Postes_ELEC!Tab_Secteur_Conso_postes_ELEC(7)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PERCENTAGE ELEKTRICITEITSVERBRUIK PER ITEM PER PERIODE </a:t>
            </a:r>
            <a:r>
              <a:rPr lang="en-US" baseline="30000"/>
              <a:t>(7)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%;\ \-\ 0.00%;\ &quot;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2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4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6">
              <a:lumMod val="6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2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4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6">
              <a:lumMod val="80000"/>
              <a:lumOff val="2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2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4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6">
              <a:lumMod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2">
              <a:lumMod val="60000"/>
              <a:lumOff val="4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4">
              <a:lumMod val="60000"/>
              <a:lumOff val="4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6">
              <a:lumMod val="60000"/>
              <a:lumOff val="4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2">
              <a:lumMod val="5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4">
              <a:lumMod val="5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6">
              <a:lumMod val="5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2">
              <a:lumMod val="70000"/>
              <a:lumOff val="3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59"/>
        <c:spPr>
          <a:solidFill>
            <a:schemeClr val="accent4">
              <a:lumMod val="70000"/>
              <a:lumOff val="3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%;\ \-\ 0.00%;\ &quot;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Secteur_Conso_Postes_ELEC!$B$3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66-4CF8-8F99-EDAAD6CE513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66-4CF8-8F99-EDAAD6CE513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66-4CF8-8F99-EDAAD6CE51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Secteur_Conso_Postes_ELEC!$A$4:$A$6</c:f>
              <c:strCache>
                <c:ptCount val="3"/>
                <c:pt idx="0">
                  <c:v> Item [1]</c:v>
                </c:pt>
                <c:pt idx="1">
                  <c:v> Item [2]</c:v>
                </c:pt>
                <c:pt idx="2">
                  <c:v> Item [3] </c:v>
                </c:pt>
              </c:strCache>
            </c:strRef>
          </c:cat>
          <c:val>
            <c:numRef>
              <c:f>Secteur_Conso_Postes_ELEC!$B$4:$B$6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137-43F7-AED2-EEE79C67E2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Adrianor.xlsx]Conso_tot_GAZ!Tab_evolution_conso_tot_GAZ(15)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TOTAAL</a:t>
            </a:r>
            <a:r>
              <a:rPr lang="en-US" baseline="0"/>
              <a:t> GASVERBRUIK PER JAAR</a:t>
            </a:r>
            <a:r>
              <a:rPr lang="en-US"/>
              <a:t> </a:t>
            </a:r>
            <a:r>
              <a:rPr lang="en-US" baseline="30000"/>
              <a:t>(15)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Conso_tot_GAZ!$B$3:$B$4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Conso_tot_GAZ!$A$5:$A$8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Conso_tot_GAZ!$B$5:$B$8</c:f>
              <c:numCache>
                <c:formatCode>General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44-4B52-823C-9D095DBF7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080528"/>
        <c:axId val="560078864"/>
      </c:lineChart>
      <c:catAx>
        <c:axId val="56008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078864"/>
        <c:crosses val="autoZero"/>
        <c:auto val="1"/>
        <c:lblAlgn val="ctr"/>
        <c:lblOffset val="100"/>
        <c:noMultiLvlLbl val="0"/>
      </c:catAx>
      <c:valAx>
        <c:axId val="5600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GASVERBRUIKS</a:t>
                </a:r>
                <a:r>
                  <a:rPr lang="en-US" sz="1100" baseline="0"/>
                  <a:t> IN</a:t>
                </a:r>
                <a:r>
                  <a:rPr lang="en-US" sz="1100"/>
                  <a:t> 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08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SUIVI DES CONSOMMATIONS  - Version NL - Adrianor.xlsx]Conso_tot_GAZ!Tab_histo_conso_tot_GAZ(16)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baseline="0"/>
              <a:t>TOTAAL GASVERBRUIK PER JAAR </a:t>
            </a:r>
            <a:r>
              <a:rPr lang="fr-FR" sz="1400" b="0" baseline="30000"/>
              <a:t>(16)</a:t>
            </a:r>
            <a:endParaRPr lang="fr-FR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1"/>
              </a:gs>
              <a:gs pos="75000">
                <a:schemeClr val="accent1">
                  <a:lumMod val="60000"/>
                  <a:lumOff val="40000"/>
                </a:schemeClr>
              </a:gs>
              <a:gs pos="51000">
                <a:schemeClr val="accent1">
                  <a:alpha val="75000"/>
                </a:schemeClr>
              </a:gs>
              <a:gs pos="100000">
                <a:schemeClr val="accent1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Conso_tot_GAZ!$B$20:$B$21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Conso_tot_GAZ!$A$22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Conso_tot_GAZ!$B$22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46D5-4535-9B48-F7A4655188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068836432"/>
        <c:axId val="1068826864"/>
      </c:barChart>
      <c:catAx>
        <c:axId val="1068836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8826864"/>
        <c:crosses val="autoZero"/>
        <c:auto val="1"/>
        <c:lblAlgn val="ctr"/>
        <c:lblOffset val="100"/>
        <c:noMultiLvlLbl val="0"/>
      </c:catAx>
      <c:valAx>
        <c:axId val="1068826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883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chart" Target="../charts/chart1.xml"/><Relationship Id="rId18" Type="http://schemas.openxmlformats.org/officeDocument/2006/relationships/chart" Target="../charts/chart6.xml"/><Relationship Id="rId3" Type="http://schemas.openxmlformats.org/officeDocument/2006/relationships/image" Target="../media/image4.gif"/><Relationship Id="rId7" Type="http://schemas.openxmlformats.org/officeDocument/2006/relationships/image" Target="../media/image7.svg"/><Relationship Id="rId12" Type="http://schemas.openxmlformats.org/officeDocument/2006/relationships/image" Target="../media/image11.svg"/><Relationship Id="rId17" Type="http://schemas.openxmlformats.org/officeDocument/2006/relationships/chart" Target="../charts/chart5.xml"/><Relationship Id="rId2" Type="http://schemas.openxmlformats.org/officeDocument/2006/relationships/hyperlink" Target="#Gasverbruiksdashboard!A1"/><Relationship Id="rId16" Type="http://schemas.openxmlformats.org/officeDocument/2006/relationships/chart" Target="../charts/chart4.xml"/><Relationship Id="rId1" Type="http://schemas.openxmlformats.org/officeDocument/2006/relationships/hyperlink" Target="#Waterverbruiksdashboard!A1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5" Type="http://schemas.openxmlformats.org/officeDocument/2006/relationships/chart" Target="../charts/chart3.xml"/><Relationship Id="rId10" Type="http://schemas.openxmlformats.org/officeDocument/2006/relationships/hyperlink" Target="#Elektriciteitverbruikdatabase!A1"/><Relationship Id="rId19" Type="http://schemas.openxmlformats.org/officeDocument/2006/relationships/chart" Target="../charts/chart7.xml"/><Relationship Id="rId4" Type="http://schemas.openxmlformats.org/officeDocument/2006/relationships/image" Target="../media/image2.png"/><Relationship Id="rId9" Type="http://schemas.openxmlformats.org/officeDocument/2006/relationships/image" Target="../media/image9.svg"/><Relationship Id="rId1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11.svg"/><Relationship Id="rId18" Type="http://schemas.openxmlformats.org/officeDocument/2006/relationships/chart" Target="../charts/chart13.xml"/><Relationship Id="rId3" Type="http://schemas.openxmlformats.org/officeDocument/2006/relationships/image" Target="../media/image13.svg"/><Relationship Id="rId7" Type="http://schemas.openxmlformats.org/officeDocument/2006/relationships/image" Target="../media/image2.png"/><Relationship Id="rId12" Type="http://schemas.openxmlformats.org/officeDocument/2006/relationships/image" Target="../media/image10.png"/><Relationship Id="rId17" Type="http://schemas.openxmlformats.org/officeDocument/2006/relationships/chart" Target="../charts/chart12.xml"/><Relationship Id="rId2" Type="http://schemas.openxmlformats.org/officeDocument/2006/relationships/image" Target="../media/image12.png"/><Relationship Id="rId16" Type="http://schemas.openxmlformats.org/officeDocument/2006/relationships/chart" Target="../charts/chart11.xml"/><Relationship Id="rId1" Type="http://schemas.openxmlformats.org/officeDocument/2006/relationships/chart" Target="../charts/chart8.xml"/><Relationship Id="rId6" Type="http://schemas.openxmlformats.org/officeDocument/2006/relationships/image" Target="../media/image4.gif"/><Relationship Id="rId11" Type="http://schemas.openxmlformats.org/officeDocument/2006/relationships/hyperlink" Target="#Gasverbruikdatabase!A1"/><Relationship Id="rId5" Type="http://schemas.openxmlformats.org/officeDocument/2006/relationships/hyperlink" Target="#Waterverbruiksdashboard!A1"/><Relationship Id="rId15" Type="http://schemas.openxmlformats.org/officeDocument/2006/relationships/chart" Target="../charts/chart10.xml"/><Relationship Id="rId10" Type="http://schemas.openxmlformats.org/officeDocument/2006/relationships/image" Target="../media/image7.svg"/><Relationship Id="rId19" Type="http://schemas.openxmlformats.org/officeDocument/2006/relationships/chart" Target="../charts/chart14.xml"/><Relationship Id="rId4" Type="http://schemas.openxmlformats.org/officeDocument/2006/relationships/hyperlink" Target="#Elektriciteitverbruiksdashboard!A1"/><Relationship Id="rId9" Type="http://schemas.openxmlformats.org/officeDocument/2006/relationships/image" Target="../media/image6.png"/><Relationship Id="rId1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3" Type="http://schemas.openxmlformats.org/officeDocument/2006/relationships/hyperlink" Target="#Elektriciteitverbruiksdashboard!A1"/><Relationship Id="rId7" Type="http://schemas.openxmlformats.org/officeDocument/2006/relationships/image" Target="../media/image5.png"/><Relationship Id="rId12" Type="http://schemas.openxmlformats.org/officeDocument/2006/relationships/image" Target="../media/image11.svg"/><Relationship Id="rId17" Type="http://schemas.openxmlformats.org/officeDocument/2006/relationships/chart" Target="../charts/chart19.xml"/><Relationship Id="rId2" Type="http://schemas.openxmlformats.org/officeDocument/2006/relationships/image" Target="../media/image15.svg"/><Relationship Id="rId16" Type="http://schemas.openxmlformats.org/officeDocument/2006/relationships/chart" Target="../charts/chart18.xml"/><Relationship Id="rId1" Type="http://schemas.openxmlformats.org/officeDocument/2006/relationships/image" Target="../media/image14.png"/><Relationship Id="rId6" Type="http://schemas.openxmlformats.org/officeDocument/2006/relationships/image" Target="../media/image2.png"/><Relationship Id="rId11" Type="http://schemas.openxmlformats.org/officeDocument/2006/relationships/image" Target="../media/image10.png"/><Relationship Id="rId5" Type="http://schemas.openxmlformats.org/officeDocument/2006/relationships/image" Target="../media/image4.gif"/><Relationship Id="rId15" Type="http://schemas.openxmlformats.org/officeDocument/2006/relationships/chart" Target="../charts/chart17.xml"/><Relationship Id="rId10" Type="http://schemas.openxmlformats.org/officeDocument/2006/relationships/hyperlink" Target="#Waterverbruikdatabase!A1"/><Relationship Id="rId19" Type="http://schemas.openxmlformats.org/officeDocument/2006/relationships/chart" Target="../charts/chart21.xml"/><Relationship Id="rId4" Type="http://schemas.openxmlformats.org/officeDocument/2006/relationships/hyperlink" Target="#Gasverbruiksdashboard!A1"/><Relationship Id="rId9" Type="http://schemas.openxmlformats.org/officeDocument/2006/relationships/image" Target="../media/image7.svg"/><Relationship Id="rId1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Gasverbruikdatabase!A1"/><Relationship Id="rId13" Type="http://schemas.openxmlformats.org/officeDocument/2006/relationships/image" Target="../media/image7.svg"/><Relationship Id="rId3" Type="http://schemas.openxmlformats.org/officeDocument/2006/relationships/hyperlink" Target="#Elektriciteitverbruikdatabase!A1"/><Relationship Id="rId7" Type="http://schemas.openxmlformats.org/officeDocument/2006/relationships/image" Target="../media/image17.svg"/><Relationship Id="rId12" Type="http://schemas.openxmlformats.org/officeDocument/2006/relationships/image" Target="../media/image6.png"/><Relationship Id="rId2" Type="http://schemas.openxmlformats.org/officeDocument/2006/relationships/image" Target="../media/image15.svg"/><Relationship Id="rId16" Type="http://schemas.openxmlformats.org/officeDocument/2006/relationships/image" Target="../media/image19.svg"/><Relationship Id="rId1" Type="http://schemas.openxmlformats.org/officeDocument/2006/relationships/image" Target="../media/image14.png"/><Relationship Id="rId6" Type="http://schemas.openxmlformats.org/officeDocument/2006/relationships/image" Target="../media/image16.png"/><Relationship Id="rId11" Type="http://schemas.openxmlformats.org/officeDocument/2006/relationships/image" Target="../media/image5.png"/><Relationship Id="rId5" Type="http://schemas.openxmlformats.org/officeDocument/2006/relationships/hyperlink" Target="#Verbruikskosten!A1"/><Relationship Id="rId15" Type="http://schemas.openxmlformats.org/officeDocument/2006/relationships/image" Target="../media/image18.png"/><Relationship Id="rId10" Type="http://schemas.openxmlformats.org/officeDocument/2006/relationships/image" Target="../media/image2.png"/><Relationship Id="rId4" Type="http://schemas.openxmlformats.org/officeDocument/2006/relationships/hyperlink" Target="#'Co&#251;t des consommations'!A1"/><Relationship Id="rId9" Type="http://schemas.openxmlformats.org/officeDocument/2006/relationships/image" Target="../media/image4.gif"/><Relationship Id="rId14" Type="http://schemas.openxmlformats.org/officeDocument/2006/relationships/hyperlink" Target="#Waterverbruiksdashboard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Waterverbruikdatabase!A1"/><Relationship Id="rId13" Type="http://schemas.openxmlformats.org/officeDocument/2006/relationships/image" Target="../media/image7.svg"/><Relationship Id="rId3" Type="http://schemas.openxmlformats.org/officeDocument/2006/relationships/hyperlink" Target="#Elektriciteitverbruikdatabase!A1"/><Relationship Id="rId7" Type="http://schemas.openxmlformats.org/officeDocument/2006/relationships/image" Target="../media/image17.svg"/><Relationship Id="rId12" Type="http://schemas.openxmlformats.org/officeDocument/2006/relationships/image" Target="../media/image6.png"/><Relationship Id="rId2" Type="http://schemas.openxmlformats.org/officeDocument/2006/relationships/image" Target="../media/image13.svg"/><Relationship Id="rId16" Type="http://schemas.openxmlformats.org/officeDocument/2006/relationships/image" Target="../media/image19.svg"/><Relationship Id="rId1" Type="http://schemas.openxmlformats.org/officeDocument/2006/relationships/image" Target="../media/image12.png"/><Relationship Id="rId6" Type="http://schemas.openxmlformats.org/officeDocument/2006/relationships/image" Target="../media/image16.png"/><Relationship Id="rId11" Type="http://schemas.openxmlformats.org/officeDocument/2006/relationships/image" Target="../media/image5.png"/><Relationship Id="rId5" Type="http://schemas.openxmlformats.org/officeDocument/2006/relationships/hyperlink" Target="#Verbruikskosten!A1"/><Relationship Id="rId15" Type="http://schemas.openxmlformats.org/officeDocument/2006/relationships/image" Target="../media/image18.png"/><Relationship Id="rId10" Type="http://schemas.openxmlformats.org/officeDocument/2006/relationships/image" Target="../media/image2.png"/><Relationship Id="rId4" Type="http://schemas.openxmlformats.org/officeDocument/2006/relationships/hyperlink" Target="#'Co&#251;t des consommations'!A1"/><Relationship Id="rId9" Type="http://schemas.openxmlformats.org/officeDocument/2006/relationships/image" Target="../media/image4.gif"/><Relationship Id="rId14" Type="http://schemas.openxmlformats.org/officeDocument/2006/relationships/hyperlink" Target="#Gasverbruiksdashboard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9.svg"/><Relationship Id="rId3" Type="http://schemas.openxmlformats.org/officeDocument/2006/relationships/image" Target="../media/image16.png"/><Relationship Id="rId7" Type="http://schemas.openxmlformats.org/officeDocument/2006/relationships/image" Target="../media/image4.gif"/><Relationship Id="rId12" Type="http://schemas.openxmlformats.org/officeDocument/2006/relationships/image" Target="../media/image8.png"/><Relationship Id="rId2" Type="http://schemas.openxmlformats.org/officeDocument/2006/relationships/hyperlink" Target="#Verbruikskosten!A1"/><Relationship Id="rId16" Type="http://schemas.openxmlformats.org/officeDocument/2006/relationships/image" Target="../media/image19.svg"/><Relationship Id="rId1" Type="http://schemas.openxmlformats.org/officeDocument/2006/relationships/hyperlink" Target="#'Co&#251;t des consommations'!A1"/><Relationship Id="rId6" Type="http://schemas.openxmlformats.org/officeDocument/2006/relationships/hyperlink" Target="#Gasverbruikdatabase!A1"/><Relationship Id="rId11" Type="http://schemas.openxmlformats.org/officeDocument/2006/relationships/image" Target="../media/image7.svg"/><Relationship Id="rId5" Type="http://schemas.openxmlformats.org/officeDocument/2006/relationships/hyperlink" Target="#Waterverbruikdatabase!A1"/><Relationship Id="rId15" Type="http://schemas.openxmlformats.org/officeDocument/2006/relationships/image" Target="../media/image18.png"/><Relationship Id="rId10" Type="http://schemas.openxmlformats.org/officeDocument/2006/relationships/image" Target="../media/image6.png"/><Relationship Id="rId4" Type="http://schemas.openxmlformats.org/officeDocument/2006/relationships/image" Target="../media/image17.svg"/><Relationship Id="rId9" Type="http://schemas.openxmlformats.org/officeDocument/2006/relationships/image" Target="../media/image5.png"/><Relationship Id="rId14" Type="http://schemas.openxmlformats.org/officeDocument/2006/relationships/hyperlink" Target="#Elektriciteitverbruiksdashboard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svg"/><Relationship Id="rId1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209550</xdr:colOff>
      <xdr:row>21</xdr:row>
      <xdr:rowOff>66675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291F4FD7-52D6-4B57-A49B-03A57FA33378}"/>
            </a:ext>
          </a:extLst>
        </xdr:cNvPr>
        <xdr:cNvGrpSpPr/>
      </xdr:nvGrpSpPr>
      <xdr:grpSpPr>
        <a:xfrm>
          <a:off x="0" y="0"/>
          <a:ext cx="5543550" cy="4248150"/>
          <a:chOff x="129030" y="174089"/>
          <a:chExt cx="8889880" cy="6509490"/>
        </a:xfrm>
      </xdr:grpSpPr>
      <xdr:grpSp>
        <xdr:nvGrpSpPr>
          <xdr:cNvPr id="3" name="Groupe 2">
            <a:extLst>
              <a:ext uri="{FF2B5EF4-FFF2-40B4-BE49-F238E27FC236}">
                <a16:creationId xmlns:a16="http://schemas.microsoft.com/office/drawing/2014/main" id="{A7E0189B-7C47-39A4-96BB-86D5D6814CCB}"/>
              </a:ext>
            </a:extLst>
          </xdr:cNvPr>
          <xdr:cNvGrpSpPr/>
        </xdr:nvGrpSpPr>
        <xdr:grpSpPr>
          <a:xfrm>
            <a:off x="129030" y="174089"/>
            <a:ext cx="8889880" cy="6509490"/>
            <a:chOff x="303098" y="366078"/>
            <a:chExt cx="6280582" cy="4598868"/>
          </a:xfrm>
        </xdr:grpSpPr>
        <xdr:sp macro="" textlink="">
          <xdr:nvSpPr>
            <xdr:cNvPr id="5" name="Rectangle : coins arrondis 4">
              <a:extLst>
                <a:ext uri="{FF2B5EF4-FFF2-40B4-BE49-F238E27FC236}">
                  <a16:creationId xmlns:a16="http://schemas.microsoft.com/office/drawing/2014/main" id="{4AF02D95-F3E5-57F3-3995-CC75DA184287}"/>
                </a:ext>
              </a:extLst>
            </xdr:cNvPr>
            <xdr:cNvSpPr/>
          </xdr:nvSpPr>
          <xdr:spPr>
            <a:xfrm>
              <a:off x="303098" y="366078"/>
              <a:ext cx="6280582" cy="4598868"/>
            </a:xfrm>
            <a:prstGeom prst="roundRect">
              <a:avLst/>
            </a:prstGeom>
            <a:solidFill>
              <a:schemeClr val="bg1"/>
            </a:solidFill>
            <a:ln w="190500">
              <a:solidFill>
                <a:srgbClr val="F9EB1D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 sz="3617"/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EE102E7-CA17-66E7-1869-46101E23ECA8}"/>
                </a:ext>
              </a:extLst>
            </xdr:cNvPr>
            <xdr:cNvGrpSpPr/>
          </xdr:nvGrpSpPr>
          <xdr:grpSpPr>
            <a:xfrm>
              <a:off x="708414" y="856811"/>
              <a:ext cx="5313201" cy="3507747"/>
              <a:chOff x="12354490" y="920300"/>
              <a:chExt cx="7791677" cy="6007939"/>
            </a:xfrm>
          </xdr:grpSpPr>
          <xdr:pic>
            <xdr:nvPicPr>
              <xdr:cNvPr id="7" name="Image 6">
                <a:extLst>
                  <a:ext uri="{FF2B5EF4-FFF2-40B4-BE49-F238E27FC236}">
                    <a16:creationId xmlns:a16="http://schemas.microsoft.com/office/drawing/2014/main" id="{60C87EB7-C980-5CE1-E0B5-A67C5338EB5E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2496542" y="920300"/>
                <a:ext cx="7649625" cy="3804995"/>
              </a:xfrm>
              <a:prstGeom prst="rect">
                <a:avLst/>
              </a:prstGeom>
            </xdr:spPr>
          </xdr:pic>
          <xdr:pic>
            <xdr:nvPicPr>
              <xdr:cNvPr id="8" name="Image 7">
                <a:extLst>
                  <a:ext uri="{FF2B5EF4-FFF2-40B4-BE49-F238E27FC236}">
                    <a16:creationId xmlns:a16="http://schemas.microsoft.com/office/drawing/2014/main" id="{6235BC82-2C69-6997-6BCF-D4811AC7B1BB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2354490" y="5250116"/>
                <a:ext cx="3231426" cy="1678123"/>
              </a:xfrm>
              <a:prstGeom prst="rect">
                <a:avLst/>
              </a:prstGeom>
            </xdr:spPr>
          </xdr:pic>
        </xdr:grpSp>
      </xdr:grpSp>
      <xdr:pic>
        <xdr:nvPicPr>
          <xdr:cNvPr id="4" name="Image 3" descr="Une image contenant texte, signe&#10;&#10;Description générée automatiquement">
            <a:extLst>
              <a:ext uri="{FF2B5EF4-FFF2-40B4-BE49-F238E27FC236}">
                <a16:creationId xmlns:a16="http://schemas.microsoft.com/office/drawing/2014/main" id="{38699BE1-3528-206D-9E10-D0467B7C8C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2191" y="3000701"/>
            <a:ext cx="4461300" cy="294327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358140</xdr:colOff>
      <xdr:row>8</xdr:row>
      <xdr:rowOff>0</xdr:rowOff>
    </xdr:from>
    <xdr:to>
      <xdr:col>5</xdr:col>
      <xdr:colOff>191225</xdr:colOff>
      <xdr:row>10</xdr:row>
      <xdr:rowOff>106681</xdr:rowOff>
    </xdr:to>
    <xdr:sp macro="" textlink="">
      <xdr:nvSpPr>
        <xdr:cNvPr id="37" name="Rectangle : coins arrondis 3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864E9D-D072-488C-B6B5-97F2432C42FE}"/>
            </a:ext>
          </a:extLst>
        </xdr:cNvPr>
        <xdr:cNvSpPr/>
      </xdr:nvSpPr>
      <xdr:spPr>
        <a:xfrm>
          <a:off x="358140" y="1463040"/>
          <a:ext cx="3795485" cy="472441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 baseline="0"/>
            <a:t>WATERVERBRUIK</a:t>
          </a:r>
          <a:endParaRPr lang="fr-FR" sz="1100" b="1"/>
        </a:p>
      </xdr:txBody>
    </xdr:sp>
    <xdr:clientData/>
  </xdr:twoCellAnchor>
  <xdr:twoCellAnchor>
    <xdr:from>
      <xdr:col>5</xdr:col>
      <xdr:colOff>388620</xdr:colOff>
      <xdr:row>4</xdr:row>
      <xdr:rowOff>82731</xdr:rowOff>
    </xdr:from>
    <xdr:to>
      <xdr:col>12</xdr:col>
      <xdr:colOff>396240</xdr:colOff>
      <xdr:row>6</xdr:row>
      <xdr:rowOff>106680</xdr:rowOff>
    </xdr:to>
    <xdr:sp macro="" textlink="">
      <xdr:nvSpPr>
        <xdr:cNvPr id="14" name="Rectangle : coins arrondis 13">
          <a:extLst>
            <a:ext uri="{FF2B5EF4-FFF2-40B4-BE49-F238E27FC236}">
              <a16:creationId xmlns:a16="http://schemas.microsoft.com/office/drawing/2014/main" id="{5AA624D3-A09B-4C32-9CAA-7CB8D28E5342}"/>
            </a:ext>
          </a:extLst>
        </xdr:cNvPr>
        <xdr:cNvSpPr/>
      </xdr:nvSpPr>
      <xdr:spPr>
        <a:xfrm>
          <a:off x="4351020" y="81425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>
                  <a:lumMod val="50000"/>
                </a:schemeClr>
              </a:solidFill>
            </a:rPr>
            <a:t>VERBRUIKSDASHBOARD</a:t>
          </a:r>
        </a:p>
      </xdr:txBody>
    </xdr:sp>
    <xdr:clientData/>
  </xdr:twoCellAnchor>
  <xdr:twoCellAnchor>
    <xdr:from>
      <xdr:col>6</xdr:col>
      <xdr:colOff>576943</xdr:colOff>
      <xdr:row>7</xdr:row>
      <xdr:rowOff>181791</xdr:rowOff>
    </xdr:from>
    <xdr:to>
      <xdr:col>11</xdr:col>
      <xdr:colOff>400381</xdr:colOff>
      <xdr:row>10</xdr:row>
      <xdr:rowOff>104503</xdr:rowOff>
    </xdr:to>
    <xdr:sp macro="" textlink="">
      <xdr:nvSpPr>
        <xdr:cNvPr id="15" name="Rectangle : coins arrondis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06BA78-9A86-419D-8092-30B10BF66D3B}"/>
            </a:ext>
          </a:extLst>
        </xdr:cNvPr>
        <xdr:cNvSpPr/>
      </xdr:nvSpPr>
      <xdr:spPr>
        <a:xfrm>
          <a:off x="5331823" y="1461951"/>
          <a:ext cx="3785838" cy="471352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GASVERBRUIK</a:t>
          </a:r>
        </a:p>
      </xdr:txBody>
    </xdr:sp>
    <xdr:clientData/>
  </xdr:twoCellAnchor>
  <xdr:twoCellAnchor editAs="oneCell">
    <xdr:from>
      <xdr:col>0</xdr:col>
      <xdr:colOff>236220</xdr:colOff>
      <xdr:row>0</xdr:row>
      <xdr:rowOff>146376</xdr:rowOff>
    </xdr:from>
    <xdr:to>
      <xdr:col>1</xdr:col>
      <xdr:colOff>634274</xdr:colOff>
      <xdr:row>3</xdr:row>
      <xdr:rowOff>1755</xdr:rowOff>
    </xdr:to>
    <xdr:pic>
      <xdr:nvPicPr>
        <xdr:cNvPr id="21" name="Image 20" descr="Afficher l’image source">
          <a:extLst>
            <a:ext uri="{FF2B5EF4-FFF2-40B4-BE49-F238E27FC236}">
              <a16:creationId xmlns:a16="http://schemas.microsoft.com/office/drawing/2014/main" id="{AFCE9BDF-F4B5-4172-B31D-A9FB544463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2432" r="3758" b="14364"/>
        <a:stretch/>
      </xdr:blipFill>
      <xdr:spPr bwMode="auto">
        <a:xfrm>
          <a:off x="236220" y="146376"/>
          <a:ext cx="1190534" cy="400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512706</xdr:colOff>
      <xdr:row>0</xdr:row>
      <xdr:rowOff>0</xdr:rowOff>
    </xdr:from>
    <xdr:to>
      <xdr:col>17</xdr:col>
      <xdr:colOff>666002</xdr:colOff>
      <xdr:row>3</xdr:row>
      <xdr:rowOff>141642</xdr:rowOff>
    </xdr:to>
    <xdr:grpSp>
      <xdr:nvGrpSpPr>
        <xdr:cNvPr id="23" name="Groupe 22">
          <a:extLst>
            <a:ext uri="{FF2B5EF4-FFF2-40B4-BE49-F238E27FC236}">
              <a16:creationId xmlns:a16="http://schemas.microsoft.com/office/drawing/2014/main" id="{AB7AD194-EDCA-41FA-A4BC-9972922DEF0F}"/>
            </a:ext>
          </a:extLst>
        </xdr:cNvPr>
        <xdr:cNvGrpSpPr/>
      </xdr:nvGrpSpPr>
      <xdr:grpSpPr>
        <a:xfrm>
          <a:off x="11314056" y="0"/>
          <a:ext cx="2467871" cy="713142"/>
          <a:chOff x="13193649" y="0"/>
          <a:chExt cx="2530736" cy="690282"/>
        </a:xfrm>
      </xdr:grpSpPr>
      <xdr:pic>
        <xdr:nvPicPr>
          <xdr:cNvPr id="24" name="Image 23">
            <a:extLst>
              <a:ext uri="{FF2B5EF4-FFF2-40B4-BE49-F238E27FC236}">
                <a16:creationId xmlns:a16="http://schemas.microsoft.com/office/drawing/2014/main" id="{93040B09-4C77-10B3-BCAE-FE558A8805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395164" y="0"/>
            <a:ext cx="1329221" cy="690282"/>
          </a:xfrm>
          <a:prstGeom prst="rect">
            <a:avLst/>
          </a:prstGeom>
        </xdr:spPr>
      </xdr:pic>
      <xdr:pic>
        <xdr:nvPicPr>
          <xdr:cNvPr id="25" name="Image 24">
            <a:extLst>
              <a:ext uri="{FF2B5EF4-FFF2-40B4-BE49-F238E27FC236}">
                <a16:creationId xmlns:a16="http://schemas.microsoft.com/office/drawing/2014/main" id="{1CAB4323-35D7-0798-AF3D-4AEF7C9D8E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93649" y="69317"/>
            <a:ext cx="1176530" cy="58521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388620</xdr:colOff>
      <xdr:row>11</xdr:row>
      <xdr:rowOff>67491</xdr:rowOff>
    </xdr:from>
    <xdr:to>
      <xdr:col>12</xdr:col>
      <xdr:colOff>396240</xdr:colOff>
      <xdr:row>13</xdr:row>
      <xdr:rowOff>91440</xdr:rowOff>
    </xdr:to>
    <xdr:sp macro="" textlink="">
      <xdr:nvSpPr>
        <xdr:cNvPr id="30" name="Rectangle : coins arrondis 29">
          <a:extLst>
            <a:ext uri="{FF2B5EF4-FFF2-40B4-BE49-F238E27FC236}">
              <a16:creationId xmlns:a16="http://schemas.microsoft.com/office/drawing/2014/main" id="{7EC1C58C-E7FE-487B-AFE3-F6A904EB164F}"/>
            </a:ext>
          </a:extLst>
        </xdr:cNvPr>
        <xdr:cNvSpPr/>
      </xdr:nvSpPr>
      <xdr:spPr>
        <a:xfrm>
          <a:off x="4351020" y="207917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>
                  <a:lumMod val="50000"/>
                </a:schemeClr>
              </a:solidFill>
            </a:rPr>
            <a:t>Totaal</a:t>
          </a:r>
          <a:r>
            <a:rPr lang="fr-FR" sz="1800" b="1" baseline="0">
              <a:solidFill>
                <a:schemeClr val="bg1">
                  <a:lumMod val="50000"/>
                </a:schemeClr>
              </a:solidFill>
            </a:rPr>
            <a:t> Elektriciteitverbruik </a:t>
          </a:r>
          <a:endParaRPr lang="fr-FR" sz="1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15</xdr:col>
      <xdr:colOff>198120</xdr:colOff>
      <xdr:row>4</xdr:row>
      <xdr:rowOff>44631</xdr:rowOff>
    </xdr:from>
    <xdr:to>
      <xdr:col>17</xdr:col>
      <xdr:colOff>220980</xdr:colOff>
      <xdr:row>5</xdr:row>
      <xdr:rowOff>106680</xdr:rowOff>
    </xdr:to>
    <xdr:sp macro="" textlink="">
      <xdr:nvSpPr>
        <xdr:cNvPr id="44" name="Rectangle : coins arrondis 43">
          <a:extLst>
            <a:ext uri="{FF2B5EF4-FFF2-40B4-BE49-F238E27FC236}">
              <a16:creationId xmlns:a16="http://schemas.microsoft.com/office/drawing/2014/main" id="{78E0701E-F3B8-463B-BD8D-F8228BA2489C}"/>
            </a:ext>
          </a:extLst>
        </xdr:cNvPr>
        <xdr:cNvSpPr/>
      </xdr:nvSpPr>
      <xdr:spPr>
        <a:xfrm>
          <a:off x="12085320" y="776151"/>
          <a:ext cx="1607820" cy="24492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500" b="1">
              <a:solidFill>
                <a:schemeClr val="bg1">
                  <a:lumMod val="50000"/>
                </a:schemeClr>
              </a:solidFill>
            </a:rPr>
            <a:t>DATABASE</a:t>
          </a:r>
        </a:p>
      </xdr:txBody>
    </xdr:sp>
    <xdr:clientData/>
  </xdr:twoCellAnchor>
  <xdr:twoCellAnchor editAs="oneCell">
    <xdr:from>
      <xdr:col>16</xdr:col>
      <xdr:colOff>656720</xdr:colOff>
      <xdr:row>4</xdr:row>
      <xdr:rowOff>146247</xdr:rowOff>
    </xdr:from>
    <xdr:to>
      <xdr:col>17</xdr:col>
      <xdr:colOff>240996</xdr:colOff>
      <xdr:row>6</xdr:row>
      <xdr:rowOff>157243</xdr:rowOff>
    </xdr:to>
    <xdr:pic>
      <xdr:nvPicPr>
        <xdr:cNvPr id="43" name="Graphique 42" descr="Flèche : incurvée dans le sens des aiguilles d’une montre avec un remplissage uni">
          <a:extLst>
            <a:ext uri="{FF2B5EF4-FFF2-40B4-BE49-F238E27FC236}">
              <a16:creationId xmlns:a16="http://schemas.microsoft.com/office/drawing/2014/main" id="{9499E184-2923-1E2F-8FBD-2B640396B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 rot="7685067">
          <a:off x="13336400" y="877767"/>
          <a:ext cx="376756" cy="376756"/>
        </a:xfrm>
        <a:prstGeom prst="rect">
          <a:avLst/>
        </a:prstGeom>
      </xdr:spPr>
    </xdr:pic>
    <xdr:clientData/>
  </xdr:twoCellAnchor>
  <xdr:twoCellAnchor>
    <xdr:from>
      <xdr:col>12</xdr:col>
      <xdr:colOff>723900</xdr:colOff>
      <xdr:row>7</xdr:row>
      <xdr:rowOff>121920</xdr:rowOff>
    </xdr:from>
    <xdr:to>
      <xdr:col>17</xdr:col>
      <xdr:colOff>636813</xdr:colOff>
      <xdr:row>10</xdr:row>
      <xdr:rowOff>171995</xdr:rowOff>
    </xdr:to>
    <xdr:grpSp>
      <xdr:nvGrpSpPr>
        <xdr:cNvPr id="58" name="Groupe 57">
          <a:extLst>
            <a:ext uri="{FF2B5EF4-FFF2-40B4-BE49-F238E27FC236}">
              <a16:creationId xmlns:a16="http://schemas.microsoft.com/office/drawing/2014/main" id="{69551141-BE46-33F2-7C66-CD35D59D8C6A}"/>
            </a:ext>
          </a:extLst>
        </xdr:cNvPr>
        <xdr:cNvGrpSpPr/>
      </xdr:nvGrpSpPr>
      <xdr:grpSpPr>
        <a:xfrm>
          <a:off x="9982200" y="1455420"/>
          <a:ext cx="3770538" cy="621575"/>
          <a:chOff x="10233660" y="1402080"/>
          <a:chExt cx="3875313" cy="598715"/>
        </a:xfrm>
      </xdr:grpSpPr>
      <xdr:sp macro="" textlink="">
        <xdr:nvSpPr>
          <xdr:cNvPr id="32" name="Rectangle : coins arrondis 31">
            <a:extLst>
              <a:ext uri="{FF2B5EF4-FFF2-40B4-BE49-F238E27FC236}">
                <a16:creationId xmlns:a16="http://schemas.microsoft.com/office/drawing/2014/main" id="{76C80BDB-A140-7F36-439B-6C3F262FB7E1}"/>
              </a:ext>
            </a:extLst>
          </xdr:cNvPr>
          <xdr:cNvSpPr/>
        </xdr:nvSpPr>
        <xdr:spPr>
          <a:xfrm>
            <a:off x="10325100" y="1471846"/>
            <a:ext cx="3783873" cy="462936"/>
          </a:xfrm>
          <a:prstGeom prst="roundRect">
            <a:avLst/>
          </a:prstGeom>
          <a:solidFill>
            <a:schemeClr val="accent4"/>
          </a:soli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100" b="1"/>
              <a:t>ELEKTRICITEITVERBRUIK</a:t>
            </a:r>
          </a:p>
        </xdr:txBody>
      </xdr:sp>
      <xdr:grpSp>
        <xdr:nvGrpSpPr>
          <xdr:cNvPr id="47" name="Groupe 46">
            <a:extLst>
              <a:ext uri="{FF2B5EF4-FFF2-40B4-BE49-F238E27FC236}">
                <a16:creationId xmlns:a16="http://schemas.microsoft.com/office/drawing/2014/main" id="{B028115B-4215-FF4B-6C47-FBA4B1D7CBB7}"/>
              </a:ext>
            </a:extLst>
          </xdr:cNvPr>
          <xdr:cNvGrpSpPr/>
        </xdr:nvGrpSpPr>
        <xdr:grpSpPr>
          <a:xfrm>
            <a:off x="10233660" y="1402080"/>
            <a:ext cx="692447" cy="598715"/>
            <a:chOff x="7924800" y="3108960"/>
            <a:chExt cx="692447" cy="598715"/>
          </a:xfrm>
        </xdr:grpSpPr>
        <xdr:sp macro="" textlink="">
          <xdr:nvSpPr>
            <xdr:cNvPr id="45" name="Organigramme : Préparation 44">
              <a:extLst>
                <a:ext uri="{FF2B5EF4-FFF2-40B4-BE49-F238E27FC236}">
                  <a16:creationId xmlns:a16="http://schemas.microsoft.com/office/drawing/2014/main" id="{7FF75924-ED76-4A27-AA54-0EFB6CA12C86}"/>
                </a:ext>
              </a:extLst>
            </xdr:cNvPr>
            <xdr:cNvSpPr/>
          </xdr:nvSpPr>
          <xdr:spPr>
            <a:xfrm>
              <a:off x="7924800" y="3108960"/>
              <a:ext cx="692447" cy="598715"/>
            </a:xfrm>
            <a:prstGeom prst="flowChartPreparation">
              <a:avLst/>
            </a:prstGeom>
            <a:solidFill>
              <a:schemeClr val="bg1"/>
            </a:solidFill>
            <a:ln w="28575">
              <a:solidFill>
                <a:schemeClr val="accent4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46" name="Graphique 1" descr="Éclair avec un remplissage uni">
              <a:extLst>
                <a:ext uri="{FF2B5EF4-FFF2-40B4-BE49-F238E27FC236}">
                  <a16:creationId xmlns:a16="http://schemas.microsoft.com/office/drawing/2014/main" id="{28BDEDEF-A455-4044-9930-76EF5213CD0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>
              <a:off x="8022172" y="3173108"/>
              <a:ext cx="486877" cy="530595"/>
            </a:xfrm>
            <a:prstGeom prst="rect">
              <a:avLst/>
            </a:prstGeom>
          </xdr:spPr>
        </xdr:pic>
      </xdr:grpSp>
    </xdr:grpSp>
    <xdr:clientData/>
  </xdr:twoCellAnchor>
  <xdr:twoCellAnchor editAs="oneCell">
    <xdr:from>
      <xdr:col>17</xdr:col>
      <xdr:colOff>198120</xdr:colOff>
      <xdr:row>4</xdr:row>
      <xdr:rowOff>30480</xdr:rowOff>
    </xdr:from>
    <xdr:to>
      <xdr:col>17</xdr:col>
      <xdr:colOff>698640</xdr:colOff>
      <xdr:row>6</xdr:row>
      <xdr:rowOff>165240</xdr:rowOff>
    </xdr:to>
    <xdr:pic>
      <xdr:nvPicPr>
        <xdr:cNvPr id="85" name="Graphique 84" descr="Engrenage avec un remplissage uni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296FF31-8B0B-4E94-BC1D-625B699F9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3670280" y="762000"/>
          <a:ext cx="500520" cy="5005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106680</xdr:rowOff>
    </xdr:from>
    <xdr:to>
      <xdr:col>7</xdr:col>
      <xdr:colOff>373380</xdr:colOff>
      <xdr:row>37</xdr:row>
      <xdr:rowOff>91440</xdr:rowOff>
    </xdr:to>
    <xdr:graphicFrame macro="">
      <xdr:nvGraphicFramePr>
        <xdr:cNvPr id="19" name="Evolution_conso_tot_ELEC(1)">
          <a:extLst>
            <a:ext uri="{FF2B5EF4-FFF2-40B4-BE49-F238E27FC236}">
              <a16:creationId xmlns:a16="http://schemas.microsoft.com/office/drawing/2014/main" id="{B3058876-F746-4F51-947B-EED09BB31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350520</xdr:colOff>
      <xdr:row>13</xdr:row>
      <xdr:rowOff>114300</xdr:rowOff>
    </xdr:from>
    <xdr:to>
      <xdr:col>14</xdr:col>
      <xdr:colOff>685800</xdr:colOff>
      <xdr:row>37</xdr:row>
      <xdr:rowOff>68580</xdr:rowOff>
    </xdr:to>
    <xdr:graphicFrame macro="">
      <xdr:nvGraphicFramePr>
        <xdr:cNvPr id="20" name="Histo_Conso_tot_ELEC(2)">
          <a:extLst>
            <a:ext uri="{FF2B5EF4-FFF2-40B4-BE49-F238E27FC236}">
              <a16:creationId xmlns:a16="http://schemas.microsoft.com/office/drawing/2014/main" id="{56B28405-CFFF-4E54-A873-01DD3C827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548640</xdr:colOff>
      <xdr:row>13</xdr:row>
      <xdr:rowOff>106680</xdr:rowOff>
    </xdr:from>
    <xdr:to>
      <xdr:col>17</xdr:col>
      <xdr:colOff>594360</xdr:colOff>
      <xdr:row>37</xdr:row>
      <xdr:rowOff>68580</xdr:rowOff>
    </xdr:to>
    <xdr:graphicFrame macro="">
      <xdr:nvGraphicFramePr>
        <xdr:cNvPr id="22" name="Histo_Cout_Conso_tot_ELEC(3)">
          <a:extLst>
            <a:ext uri="{FF2B5EF4-FFF2-40B4-BE49-F238E27FC236}">
              <a16:creationId xmlns:a16="http://schemas.microsoft.com/office/drawing/2014/main" id="{FD6B9E55-1C73-4ABB-A5AE-5F32BBBD0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39</xdr:row>
      <xdr:rowOff>137160</xdr:rowOff>
    </xdr:from>
    <xdr:to>
      <xdr:col>8</xdr:col>
      <xdr:colOff>777240</xdr:colOff>
      <xdr:row>64</xdr:row>
      <xdr:rowOff>0</xdr:rowOff>
    </xdr:to>
    <xdr:graphicFrame macro="">
      <xdr:nvGraphicFramePr>
        <xdr:cNvPr id="34" name="Histo_Conso_Postes_ELEC(3)">
          <a:extLst>
            <a:ext uri="{FF2B5EF4-FFF2-40B4-BE49-F238E27FC236}">
              <a16:creationId xmlns:a16="http://schemas.microsoft.com/office/drawing/2014/main" id="{C8058C7A-C048-497F-ABB8-B90EA1E29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769620</xdr:colOff>
      <xdr:row>39</xdr:row>
      <xdr:rowOff>144780</xdr:rowOff>
    </xdr:from>
    <xdr:to>
      <xdr:col>17</xdr:col>
      <xdr:colOff>777240</xdr:colOff>
      <xdr:row>64</xdr:row>
      <xdr:rowOff>7620</xdr:rowOff>
    </xdr:to>
    <xdr:graphicFrame macro="">
      <xdr:nvGraphicFramePr>
        <xdr:cNvPr id="35" name="Histo_cout_conso_postes_ELEC(4)">
          <a:extLst>
            <a:ext uri="{FF2B5EF4-FFF2-40B4-BE49-F238E27FC236}">
              <a16:creationId xmlns:a16="http://schemas.microsoft.com/office/drawing/2014/main" id="{81156C7A-0D73-4299-97AE-6E3114792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388620</xdr:colOff>
      <xdr:row>37</xdr:row>
      <xdr:rowOff>75111</xdr:rowOff>
    </xdr:from>
    <xdr:to>
      <xdr:col>12</xdr:col>
      <xdr:colOff>396240</xdr:colOff>
      <xdr:row>39</xdr:row>
      <xdr:rowOff>99060</xdr:rowOff>
    </xdr:to>
    <xdr:sp macro="" textlink="">
      <xdr:nvSpPr>
        <xdr:cNvPr id="36" name="Rectangle : coins arrondis 35">
          <a:extLst>
            <a:ext uri="{FF2B5EF4-FFF2-40B4-BE49-F238E27FC236}">
              <a16:creationId xmlns:a16="http://schemas.microsoft.com/office/drawing/2014/main" id="{F54B02E0-3A92-46D4-A372-E2755DE5921A}"/>
            </a:ext>
          </a:extLst>
        </xdr:cNvPr>
        <xdr:cNvSpPr/>
      </xdr:nvSpPr>
      <xdr:spPr>
        <a:xfrm>
          <a:off x="4351020" y="684167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>
                  <a:lumMod val="50000"/>
                </a:schemeClr>
              </a:solidFill>
            </a:rPr>
            <a:t>Totaal</a:t>
          </a:r>
          <a:r>
            <a:rPr lang="fr-FR" sz="1800" b="1" baseline="0">
              <a:solidFill>
                <a:schemeClr val="bg1">
                  <a:lumMod val="50000"/>
                </a:schemeClr>
              </a:solidFill>
            </a:rPr>
            <a:t> Elektriciteitverbruik per item</a:t>
          </a:r>
          <a:endParaRPr lang="fr-FR" sz="1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73</xdr:row>
      <xdr:rowOff>125509</xdr:rowOff>
    </xdr:from>
    <xdr:to>
      <xdr:col>10</xdr:col>
      <xdr:colOff>600635</xdr:colOff>
      <xdr:row>104</xdr:row>
      <xdr:rowOff>134473</xdr:rowOff>
    </xdr:to>
    <xdr:graphicFrame macro="">
      <xdr:nvGraphicFramePr>
        <xdr:cNvPr id="48" name="Evolution_conso_postes_ELEC(6)">
          <a:extLst>
            <a:ext uri="{FF2B5EF4-FFF2-40B4-BE49-F238E27FC236}">
              <a16:creationId xmlns:a16="http://schemas.microsoft.com/office/drawing/2014/main" id="{F9EF2DB4-8652-4DAE-8287-7F018D54B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573741</xdr:colOff>
      <xdr:row>73</xdr:row>
      <xdr:rowOff>125505</xdr:rowOff>
    </xdr:from>
    <xdr:to>
      <xdr:col>17</xdr:col>
      <xdr:colOff>784860</xdr:colOff>
      <xdr:row>104</xdr:row>
      <xdr:rowOff>143436</xdr:rowOff>
    </xdr:to>
    <xdr:graphicFrame macro="">
      <xdr:nvGraphicFramePr>
        <xdr:cNvPr id="49" name="Secteur_conso_postes_ELEC(7)">
          <a:extLst>
            <a:ext uri="{FF2B5EF4-FFF2-40B4-BE49-F238E27FC236}">
              <a16:creationId xmlns:a16="http://schemas.microsoft.com/office/drawing/2014/main" id="{CE7D376B-5799-417C-AD21-F03EB5738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381000</xdr:colOff>
      <xdr:row>63</xdr:row>
      <xdr:rowOff>90351</xdr:rowOff>
    </xdr:from>
    <xdr:to>
      <xdr:col>12</xdr:col>
      <xdr:colOff>388620</xdr:colOff>
      <xdr:row>65</xdr:row>
      <xdr:rowOff>114300</xdr:rowOff>
    </xdr:to>
    <xdr:sp macro="" textlink="">
      <xdr:nvSpPr>
        <xdr:cNvPr id="50" name="Rectangle : coins arrondis 49">
          <a:extLst>
            <a:ext uri="{FF2B5EF4-FFF2-40B4-BE49-F238E27FC236}">
              <a16:creationId xmlns:a16="http://schemas.microsoft.com/office/drawing/2014/main" id="{03185BBE-4524-4088-A074-B9A8B19DF9F2}"/>
            </a:ext>
          </a:extLst>
        </xdr:cNvPr>
        <xdr:cNvSpPr/>
      </xdr:nvSpPr>
      <xdr:spPr>
        <a:xfrm>
          <a:off x="4343400" y="1161179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>
                  <a:lumMod val="50000"/>
                </a:schemeClr>
              </a:solidFill>
            </a:rPr>
            <a:t>Totaal</a:t>
          </a:r>
          <a:r>
            <a:rPr lang="fr-FR" sz="1800" b="1" baseline="0">
              <a:solidFill>
                <a:schemeClr val="bg1">
                  <a:lumMod val="50000"/>
                </a:schemeClr>
              </a:solidFill>
            </a:rPr>
            <a:t> Elektriciteitverbruik per item per periode</a:t>
          </a:r>
          <a:endParaRPr lang="fr-FR" sz="1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13</xdr:row>
      <xdr:rowOff>15240</xdr:rowOff>
    </xdr:from>
    <xdr:to>
      <xdr:col>0</xdr:col>
      <xdr:colOff>502920</xdr:colOff>
      <xdr:row>16</xdr:row>
      <xdr:rowOff>15240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2E3AB23F-1707-18E9-2C15-19EB393918CA}"/>
            </a:ext>
          </a:extLst>
        </xdr:cNvPr>
        <xdr:cNvSpPr txBox="1"/>
      </xdr:nvSpPr>
      <xdr:spPr>
        <a:xfrm>
          <a:off x="0" y="2392680"/>
          <a:ext cx="5029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(1)</a:t>
          </a:r>
        </a:p>
      </xdr:txBody>
    </xdr:sp>
    <xdr:clientData/>
  </xdr:twoCellAnchor>
  <xdr:twoCellAnchor>
    <xdr:from>
      <xdr:col>10</xdr:col>
      <xdr:colOff>426720</xdr:colOff>
      <xdr:row>13</xdr:row>
      <xdr:rowOff>106680</xdr:rowOff>
    </xdr:from>
    <xdr:to>
      <xdr:col>11</xdr:col>
      <xdr:colOff>137160</xdr:colOff>
      <xdr:row>16</xdr:row>
      <xdr:rowOff>106680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D48361E6-98DC-4492-8470-E4F451CBE2FB}"/>
            </a:ext>
          </a:extLst>
        </xdr:cNvPr>
        <xdr:cNvSpPr txBox="1"/>
      </xdr:nvSpPr>
      <xdr:spPr>
        <a:xfrm>
          <a:off x="8351520" y="2484120"/>
          <a:ext cx="50292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(2)</a:t>
          </a:r>
        </a:p>
      </xdr:txBody>
    </xdr:sp>
    <xdr:clientData/>
  </xdr:twoCellAnchor>
  <xdr:twoCellAnchor>
    <xdr:from>
      <xdr:col>17</xdr:col>
      <xdr:colOff>312420</xdr:colOff>
      <xdr:row>13</xdr:row>
      <xdr:rowOff>112395</xdr:rowOff>
    </xdr:from>
    <xdr:to>
      <xdr:col>18</xdr:col>
      <xdr:colOff>24765</xdr:colOff>
      <xdr:row>16</xdr:row>
      <xdr:rowOff>112395</xdr:rowOff>
    </xdr:to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36BF3ED1-066B-46FA-A268-B81151E1474C}"/>
            </a:ext>
          </a:extLst>
        </xdr:cNvPr>
        <xdr:cNvSpPr txBox="1"/>
      </xdr:nvSpPr>
      <xdr:spPr>
        <a:xfrm>
          <a:off x="13752195" y="2465070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(3)</a:t>
          </a:r>
        </a:p>
      </xdr:txBody>
    </xdr:sp>
    <xdr:clientData/>
  </xdr:twoCellAnchor>
  <xdr:twoCellAnchor>
    <xdr:from>
      <xdr:col>0</xdr:col>
      <xdr:colOff>0</xdr:colOff>
      <xdr:row>39</xdr:row>
      <xdr:rowOff>17145</xdr:rowOff>
    </xdr:from>
    <xdr:to>
      <xdr:col>0</xdr:col>
      <xdr:colOff>502920</xdr:colOff>
      <xdr:row>42</xdr:row>
      <xdr:rowOff>17145</xdr:rowOff>
    </xdr:to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7217182-B62B-4C01-B6C9-5985D85628C9}"/>
            </a:ext>
          </a:extLst>
        </xdr:cNvPr>
        <xdr:cNvSpPr txBox="1"/>
      </xdr:nvSpPr>
      <xdr:spPr>
        <a:xfrm>
          <a:off x="0" y="7075170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(4)</a:t>
          </a:r>
        </a:p>
      </xdr:txBody>
    </xdr:sp>
    <xdr:clientData/>
  </xdr:twoCellAnchor>
  <xdr:twoCellAnchor>
    <xdr:from>
      <xdr:col>17</xdr:col>
      <xdr:colOff>371475</xdr:colOff>
      <xdr:row>39</xdr:row>
      <xdr:rowOff>26670</xdr:rowOff>
    </xdr:from>
    <xdr:to>
      <xdr:col>18</xdr:col>
      <xdr:colOff>83820</xdr:colOff>
      <xdr:row>42</xdr:row>
      <xdr:rowOff>26670</xdr:rowOff>
    </xdr:to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65E8836E-230E-4614-9416-180D9B3B538C}"/>
            </a:ext>
          </a:extLst>
        </xdr:cNvPr>
        <xdr:cNvSpPr txBox="1"/>
      </xdr:nvSpPr>
      <xdr:spPr>
        <a:xfrm>
          <a:off x="13811250" y="7084695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(5)</a:t>
          </a:r>
        </a:p>
      </xdr:txBody>
    </xdr:sp>
    <xdr:clientData/>
  </xdr:twoCellAnchor>
  <xdr:twoCellAnchor>
    <xdr:from>
      <xdr:col>0</xdr:col>
      <xdr:colOff>0</xdr:colOff>
      <xdr:row>73</xdr:row>
      <xdr:rowOff>26670</xdr:rowOff>
    </xdr:from>
    <xdr:to>
      <xdr:col>0</xdr:col>
      <xdr:colOff>502920</xdr:colOff>
      <xdr:row>76</xdr:row>
      <xdr:rowOff>26670</xdr:rowOff>
    </xdr:to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CE3CE6F1-9C1A-4A5D-AA68-A62F718E80B7}"/>
            </a:ext>
          </a:extLst>
        </xdr:cNvPr>
        <xdr:cNvSpPr txBox="1"/>
      </xdr:nvSpPr>
      <xdr:spPr>
        <a:xfrm>
          <a:off x="0" y="13237845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(6)</a:t>
          </a:r>
        </a:p>
      </xdr:txBody>
    </xdr:sp>
    <xdr:clientData/>
  </xdr:twoCellAnchor>
  <xdr:twoCellAnchor>
    <xdr:from>
      <xdr:col>17</xdr:col>
      <xdr:colOff>371475</xdr:colOff>
      <xdr:row>73</xdr:row>
      <xdr:rowOff>26670</xdr:rowOff>
    </xdr:from>
    <xdr:to>
      <xdr:col>18</xdr:col>
      <xdr:colOff>83820</xdr:colOff>
      <xdr:row>76</xdr:row>
      <xdr:rowOff>26670</xdr:rowOff>
    </xdr:to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B7638BAD-D8B1-4D22-8073-90E1ABB0E66A}"/>
            </a:ext>
          </a:extLst>
        </xdr:cNvPr>
        <xdr:cNvSpPr txBox="1"/>
      </xdr:nvSpPr>
      <xdr:spPr>
        <a:xfrm>
          <a:off x="13811250" y="13237845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(7)</a:t>
          </a:r>
        </a:p>
      </xdr:txBody>
    </xdr:sp>
    <xdr:clientData/>
  </xdr:twoCellAnchor>
  <xdr:twoCellAnchor editAs="oneCell">
    <xdr:from>
      <xdr:col>7</xdr:col>
      <xdr:colOff>655320</xdr:colOff>
      <xdr:row>21</xdr:row>
      <xdr:rowOff>144780</xdr:rowOff>
    </xdr:from>
    <xdr:to>
      <xdr:col>10</xdr:col>
      <xdr:colOff>106680</xdr:colOff>
      <xdr:row>36</xdr:row>
      <xdr:rowOff>121920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AAND 2">
              <a:extLst>
                <a:ext uri="{FF2B5EF4-FFF2-40B4-BE49-F238E27FC236}">
                  <a16:creationId xmlns:a16="http://schemas.microsoft.com/office/drawing/2014/main" id="{03B46C7E-BA77-A85F-C14C-003F8AEE63CE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AND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02680" y="3985260"/>
              <a:ext cx="1828800" cy="27203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7</xdr:col>
      <xdr:colOff>655320</xdr:colOff>
      <xdr:row>14</xdr:row>
      <xdr:rowOff>7621</xdr:rowOff>
    </xdr:from>
    <xdr:to>
      <xdr:col>10</xdr:col>
      <xdr:colOff>106680</xdr:colOff>
      <xdr:row>21</xdr:row>
      <xdr:rowOff>144781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JAAR 2">
              <a:extLst>
                <a:ext uri="{FF2B5EF4-FFF2-40B4-BE49-F238E27FC236}">
                  <a16:creationId xmlns:a16="http://schemas.microsoft.com/office/drawing/2014/main" id="{2CD21A34-BCC2-4691-2503-EAA078D9868D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AAR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02680" y="2567941"/>
              <a:ext cx="1828800" cy="14173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0</xdr:col>
      <xdr:colOff>45720</xdr:colOff>
      <xdr:row>65</xdr:row>
      <xdr:rowOff>167640</xdr:rowOff>
    </xdr:from>
    <xdr:to>
      <xdr:col>17</xdr:col>
      <xdr:colOff>746760</xdr:colOff>
      <xdr:row>72</xdr:row>
      <xdr:rowOff>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7" name="Maand/Jaar">
              <a:extLst>
                <a:ext uri="{FF2B5EF4-FFF2-40B4-BE49-F238E27FC236}">
                  <a16:creationId xmlns:a16="http://schemas.microsoft.com/office/drawing/2014/main" id="{B2A68FE0-C42C-AF14-2263-85EB32A7EAC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Maand/Jaa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720" y="12054840"/>
              <a:ext cx="14173200" cy="11125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Chronologie : fonctionne dans Excel 2013 ou version ultérieure. Ne pas déplacer ou redimensionner.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60960</xdr:rowOff>
    </xdr:from>
    <xdr:to>
      <xdr:col>7</xdr:col>
      <xdr:colOff>434340</xdr:colOff>
      <xdr:row>37</xdr:row>
      <xdr:rowOff>106680</xdr:rowOff>
    </xdr:to>
    <xdr:graphicFrame macro="">
      <xdr:nvGraphicFramePr>
        <xdr:cNvPr id="32" name="Evolution_conso_tot_GAZ(15)">
          <a:extLst>
            <a:ext uri="{FF2B5EF4-FFF2-40B4-BE49-F238E27FC236}">
              <a16:creationId xmlns:a16="http://schemas.microsoft.com/office/drawing/2014/main" id="{3D4A63BA-3BDE-4B98-B295-5A4FC7A42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495296</xdr:colOff>
      <xdr:row>7</xdr:row>
      <xdr:rowOff>129540</xdr:rowOff>
    </xdr:from>
    <xdr:to>
      <xdr:col>11</xdr:col>
      <xdr:colOff>399227</xdr:colOff>
      <xdr:row>10</xdr:row>
      <xdr:rowOff>168729</xdr:rowOff>
    </xdr:to>
    <xdr:grpSp>
      <xdr:nvGrpSpPr>
        <xdr:cNvPr id="18" name="Groupe 17">
          <a:extLst>
            <a:ext uri="{FF2B5EF4-FFF2-40B4-BE49-F238E27FC236}">
              <a16:creationId xmlns:a16="http://schemas.microsoft.com/office/drawing/2014/main" id="{910DACCF-B096-4EF4-9D92-7EC24191C5EB}"/>
            </a:ext>
          </a:extLst>
        </xdr:cNvPr>
        <xdr:cNvGrpSpPr/>
      </xdr:nvGrpSpPr>
      <xdr:grpSpPr>
        <a:xfrm>
          <a:off x="5130796" y="1463040"/>
          <a:ext cx="3766848" cy="610689"/>
          <a:chOff x="5250176" y="3436620"/>
          <a:chExt cx="3866331" cy="587829"/>
        </a:xfrm>
      </xdr:grpSpPr>
      <xdr:sp macro="" textlink="">
        <xdr:nvSpPr>
          <xdr:cNvPr id="19" name="Rectangle : coins arrondis 18">
            <a:extLst>
              <a:ext uri="{FF2B5EF4-FFF2-40B4-BE49-F238E27FC236}">
                <a16:creationId xmlns:a16="http://schemas.microsoft.com/office/drawing/2014/main" id="{8ED771FD-FC4D-9ECA-D2C3-3A60594EA42B}"/>
              </a:ext>
            </a:extLst>
          </xdr:cNvPr>
          <xdr:cNvSpPr/>
        </xdr:nvSpPr>
        <xdr:spPr>
          <a:xfrm>
            <a:off x="5326380" y="3497580"/>
            <a:ext cx="3790127" cy="454518"/>
          </a:xfrm>
          <a:prstGeom prst="roundRect">
            <a:avLst/>
          </a:prstGeom>
          <a:solidFill>
            <a:schemeClr val="accent2"/>
          </a:solidFill>
          <a:ln>
            <a:solidFill>
              <a:schemeClr val="accent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100" b="1"/>
              <a:t>GASVERBRUIK</a:t>
            </a:r>
          </a:p>
        </xdr:txBody>
      </xdr:sp>
      <xdr:grpSp>
        <xdr:nvGrpSpPr>
          <xdr:cNvPr id="20" name="Groupe 19">
            <a:extLst>
              <a:ext uri="{FF2B5EF4-FFF2-40B4-BE49-F238E27FC236}">
                <a16:creationId xmlns:a16="http://schemas.microsoft.com/office/drawing/2014/main" id="{C4060876-5AAD-54C1-4B93-5EC310F25BEF}"/>
              </a:ext>
            </a:extLst>
          </xdr:cNvPr>
          <xdr:cNvGrpSpPr/>
        </xdr:nvGrpSpPr>
        <xdr:grpSpPr>
          <a:xfrm>
            <a:off x="5250176" y="3436620"/>
            <a:ext cx="690922" cy="587829"/>
            <a:chOff x="5573490" y="805544"/>
            <a:chExt cx="696685" cy="609600"/>
          </a:xfrm>
        </xdr:grpSpPr>
        <xdr:sp macro="" textlink="">
          <xdr:nvSpPr>
            <xdr:cNvPr id="21" name="Organigramme : Préparation 20">
              <a:extLst>
                <a:ext uri="{FF2B5EF4-FFF2-40B4-BE49-F238E27FC236}">
                  <a16:creationId xmlns:a16="http://schemas.microsoft.com/office/drawing/2014/main" id="{4289CEFC-CE05-793C-96CE-A05AF03B2D7C}"/>
                </a:ext>
              </a:extLst>
            </xdr:cNvPr>
            <xdr:cNvSpPr/>
          </xdr:nvSpPr>
          <xdr:spPr>
            <a:xfrm>
              <a:off x="5573490" y="805544"/>
              <a:ext cx="696685" cy="609600"/>
            </a:xfrm>
            <a:prstGeom prst="flowChartPreparation">
              <a:avLst/>
            </a:prstGeom>
            <a:solidFill>
              <a:schemeClr val="bg1"/>
            </a:solidFill>
            <a:ln w="28575">
              <a:solidFill>
                <a:schemeClr val="accent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22" name="Graphique 21" descr="Feu avec un remplissage uni">
              <a:extLst>
                <a:ext uri="{FF2B5EF4-FFF2-40B4-BE49-F238E27FC236}">
                  <a16:creationId xmlns:a16="http://schemas.microsoft.com/office/drawing/2014/main" id="{DFAEECE8-8D94-8E5F-D967-F8725B38738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3"/>
                </a:ext>
              </a:extLst>
            </a:blip>
            <a:stretch>
              <a:fillRect/>
            </a:stretch>
          </xdr:blipFill>
          <xdr:spPr>
            <a:xfrm>
              <a:off x="5682343" y="859971"/>
              <a:ext cx="468085" cy="468085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13</xdr:col>
      <xdr:colOff>30480</xdr:colOff>
      <xdr:row>8</xdr:row>
      <xdr:rowOff>0</xdr:rowOff>
    </xdr:from>
    <xdr:to>
      <xdr:col>17</xdr:col>
      <xdr:colOff>646398</xdr:colOff>
      <xdr:row>10</xdr:row>
      <xdr:rowOff>105592</xdr:rowOff>
    </xdr:to>
    <xdr:sp macro="" textlink="">
      <xdr:nvSpPr>
        <xdr:cNvPr id="29" name="Rectangle : coins arrondis 2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FF6917-4371-446D-A83C-3BEC85405554}"/>
            </a:ext>
          </a:extLst>
        </xdr:cNvPr>
        <xdr:cNvSpPr/>
      </xdr:nvSpPr>
      <xdr:spPr>
        <a:xfrm>
          <a:off x="10332720" y="1463040"/>
          <a:ext cx="3785838" cy="471352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ELEKTRICITEITVERBRUIK</a:t>
          </a:r>
        </a:p>
      </xdr:txBody>
    </xdr:sp>
    <xdr:clientData/>
  </xdr:twoCellAnchor>
  <xdr:twoCellAnchor>
    <xdr:from>
      <xdr:col>0</xdr:col>
      <xdr:colOff>358140</xdr:colOff>
      <xdr:row>8</xdr:row>
      <xdr:rowOff>0</xdr:rowOff>
    </xdr:from>
    <xdr:to>
      <xdr:col>5</xdr:col>
      <xdr:colOff>191225</xdr:colOff>
      <xdr:row>10</xdr:row>
      <xdr:rowOff>106681</xdr:rowOff>
    </xdr:to>
    <xdr:sp macro="" textlink="">
      <xdr:nvSpPr>
        <xdr:cNvPr id="2" name="Rectangle : coins arrondis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47BE5DC-2DA9-40FA-8B7B-1B5DF587884A}"/>
            </a:ext>
          </a:extLst>
        </xdr:cNvPr>
        <xdr:cNvSpPr/>
      </xdr:nvSpPr>
      <xdr:spPr>
        <a:xfrm>
          <a:off x="358140" y="1463040"/>
          <a:ext cx="3795485" cy="472441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 baseline="0"/>
            <a:t>WATERVERBRUIK</a:t>
          </a:r>
          <a:endParaRPr lang="fr-FR" sz="1100" b="1"/>
        </a:p>
      </xdr:txBody>
    </xdr:sp>
    <xdr:clientData/>
  </xdr:twoCellAnchor>
  <xdr:twoCellAnchor>
    <xdr:from>
      <xdr:col>5</xdr:col>
      <xdr:colOff>388620</xdr:colOff>
      <xdr:row>4</xdr:row>
      <xdr:rowOff>82731</xdr:rowOff>
    </xdr:from>
    <xdr:to>
      <xdr:col>12</xdr:col>
      <xdr:colOff>396240</xdr:colOff>
      <xdr:row>6</xdr:row>
      <xdr:rowOff>106680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75CCF485-B2F3-427B-8C5F-3EB48BDAF754}"/>
            </a:ext>
          </a:extLst>
        </xdr:cNvPr>
        <xdr:cNvSpPr/>
      </xdr:nvSpPr>
      <xdr:spPr>
        <a:xfrm>
          <a:off x="4351020" y="81425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>
                  <a:lumMod val="50000"/>
                </a:schemeClr>
              </a:solidFill>
            </a:rPr>
            <a:t>VERBRUIKSDASHBOARD</a:t>
          </a:r>
        </a:p>
      </xdr:txBody>
    </xdr:sp>
    <xdr:clientData/>
  </xdr:twoCellAnchor>
  <xdr:twoCellAnchor editAs="oneCell">
    <xdr:from>
      <xdr:col>0</xdr:col>
      <xdr:colOff>236220</xdr:colOff>
      <xdr:row>0</xdr:row>
      <xdr:rowOff>146376</xdr:rowOff>
    </xdr:from>
    <xdr:to>
      <xdr:col>1</xdr:col>
      <xdr:colOff>634274</xdr:colOff>
      <xdr:row>2</xdr:row>
      <xdr:rowOff>181049</xdr:rowOff>
    </xdr:to>
    <xdr:pic>
      <xdr:nvPicPr>
        <xdr:cNvPr id="5" name="Image 4" descr="Afficher l’image source">
          <a:extLst>
            <a:ext uri="{FF2B5EF4-FFF2-40B4-BE49-F238E27FC236}">
              <a16:creationId xmlns:a16="http://schemas.microsoft.com/office/drawing/2014/main" id="{8BFE2F3F-AF06-48E7-877F-13366982A2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2432" r="3758" b="14364"/>
        <a:stretch/>
      </xdr:blipFill>
      <xdr:spPr bwMode="auto">
        <a:xfrm>
          <a:off x="236220" y="146376"/>
          <a:ext cx="1190534" cy="400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512706</xdr:colOff>
      <xdr:row>0</xdr:row>
      <xdr:rowOff>0</xdr:rowOff>
    </xdr:from>
    <xdr:to>
      <xdr:col>17</xdr:col>
      <xdr:colOff>666002</xdr:colOff>
      <xdr:row>3</xdr:row>
      <xdr:rowOff>141642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2DDDED0F-4570-4D8D-A991-0D410051F6C9}"/>
            </a:ext>
          </a:extLst>
        </xdr:cNvPr>
        <xdr:cNvGrpSpPr/>
      </xdr:nvGrpSpPr>
      <xdr:grpSpPr>
        <a:xfrm>
          <a:off x="11328873" y="0"/>
          <a:ext cx="2471046" cy="713142"/>
          <a:chOff x="13193649" y="0"/>
          <a:chExt cx="2530736" cy="690282"/>
        </a:xfrm>
      </xdr:grpSpPr>
      <xdr:pic>
        <xdr:nvPicPr>
          <xdr:cNvPr id="8" name="Image 7">
            <a:extLst>
              <a:ext uri="{FF2B5EF4-FFF2-40B4-BE49-F238E27FC236}">
                <a16:creationId xmlns:a16="http://schemas.microsoft.com/office/drawing/2014/main" id="{BF3F4391-059B-6334-FD96-034FE9CFF8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395164" y="0"/>
            <a:ext cx="1329221" cy="690282"/>
          </a:xfrm>
          <a:prstGeom prst="rect">
            <a:avLst/>
          </a:prstGeom>
        </xdr:spPr>
      </xdr:pic>
      <xdr:pic>
        <xdr:nvPicPr>
          <xdr:cNvPr id="9" name="Image 8">
            <a:extLst>
              <a:ext uri="{FF2B5EF4-FFF2-40B4-BE49-F238E27FC236}">
                <a16:creationId xmlns:a16="http://schemas.microsoft.com/office/drawing/2014/main" id="{545CACB5-DD1E-FCD6-8B22-0D14FD6BD2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93649" y="69317"/>
            <a:ext cx="1176530" cy="58521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388620</xdr:colOff>
      <xdr:row>11</xdr:row>
      <xdr:rowOff>67491</xdr:rowOff>
    </xdr:from>
    <xdr:to>
      <xdr:col>12</xdr:col>
      <xdr:colOff>396240</xdr:colOff>
      <xdr:row>13</xdr:row>
      <xdr:rowOff>91440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D8563C01-2C0F-4A58-A546-4BD6F258C7CB}"/>
            </a:ext>
          </a:extLst>
        </xdr:cNvPr>
        <xdr:cNvSpPr/>
      </xdr:nvSpPr>
      <xdr:spPr>
        <a:xfrm>
          <a:off x="4351020" y="207917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>
                  <a:lumMod val="50000"/>
                </a:schemeClr>
              </a:solidFill>
            </a:rPr>
            <a:t>Totaal</a:t>
          </a:r>
          <a:r>
            <a:rPr lang="fr-FR" sz="1800" b="1" baseline="0">
              <a:solidFill>
                <a:schemeClr val="bg1">
                  <a:lumMod val="50000"/>
                </a:schemeClr>
              </a:solidFill>
            </a:rPr>
            <a:t> Gasverbruik</a:t>
          </a:r>
          <a:endParaRPr lang="fr-FR" sz="1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15</xdr:col>
      <xdr:colOff>198120</xdr:colOff>
      <xdr:row>4</xdr:row>
      <xdr:rowOff>44631</xdr:rowOff>
    </xdr:from>
    <xdr:to>
      <xdr:col>17</xdr:col>
      <xdr:colOff>220980</xdr:colOff>
      <xdr:row>5</xdr:row>
      <xdr:rowOff>106680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0DDB5491-F1C9-437F-812E-9F6E80059E3A}"/>
            </a:ext>
          </a:extLst>
        </xdr:cNvPr>
        <xdr:cNvSpPr/>
      </xdr:nvSpPr>
      <xdr:spPr>
        <a:xfrm>
          <a:off x="12085320" y="776151"/>
          <a:ext cx="1607820" cy="24492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500" b="1">
              <a:solidFill>
                <a:schemeClr val="bg1">
                  <a:lumMod val="50000"/>
                </a:schemeClr>
              </a:solidFill>
            </a:rPr>
            <a:t>DATABASE</a:t>
          </a:r>
        </a:p>
      </xdr:txBody>
    </xdr:sp>
    <xdr:clientData/>
  </xdr:twoCellAnchor>
  <xdr:twoCellAnchor editAs="oneCell">
    <xdr:from>
      <xdr:col>16</xdr:col>
      <xdr:colOff>656720</xdr:colOff>
      <xdr:row>4</xdr:row>
      <xdr:rowOff>146247</xdr:rowOff>
    </xdr:from>
    <xdr:to>
      <xdr:col>17</xdr:col>
      <xdr:colOff>240996</xdr:colOff>
      <xdr:row>6</xdr:row>
      <xdr:rowOff>157243</xdr:rowOff>
    </xdr:to>
    <xdr:pic>
      <xdr:nvPicPr>
        <xdr:cNvPr id="12" name="Graphique 11" descr="Flèche : incurvée dans le sens des aiguilles d’une montre avec un remplissage uni">
          <a:extLst>
            <a:ext uri="{FF2B5EF4-FFF2-40B4-BE49-F238E27FC236}">
              <a16:creationId xmlns:a16="http://schemas.microsoft.com/office/drawing/2014/main" id="{18EA3235-56A5-43AE-8713-70210FA3E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 rot="7685067">
          <a:off x="13336400" y="877767"/>
          <a:ext cx="376756" cy="376756"/>
        </a:xfrm>
        <a:prstGeom prst="rect">
          <a:avLst/>
        </a:prstGeom>
      </xdr:spPr>
    </xdr:pic>
    <xdr:clientData/>
  </xdr:twoCellAnchor>
  <xdr:twoCellAnchor editAs="oneCell">
    <xdr:from>
      <xdr:col>17</xdr:col>
      <xdr:colOff>198120</xdr:colOff>
      <xdr:row>4</xdr:row>
      <xdr:rowOff>22860</xdr:rowOff>
    </xdr:from>
    <xdr:to>
      <xdr:col>17</xdr:col>
      <xdr:colOff>698640</xdr:colOff>
      <xdr:row>6</xdr:row>
      <xdr:rowOff>157620</xdr:rowOff>
    </xdr:to>
    <xdr:pic>
      <xdr:nvPicPr>
        <xdr:cNvPr id="31" name="Graphique 30" descr="Engrenage avec un remplissage uni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5432D6-0C1B-4304-8A9B-3B85852E4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3670280" y="754380"/>
          <a:ext cx="500520" cy="500520"/>
        </a:xfrm>
        <a:prstGeom prst="rect">
          <a:avLst/>
        </a:prstGeom>
      </xdr:spPr>
    </xdr:pic>
    <xdr:clientData/>
  </xdr:twoCellAnchor>
  <xdr:twoCellAnchor>
    <xdr:from>
      <xdr:col>10</xdr:col>
      <xdr:colOff>342900</xdr:colOff>
      <xdr:row>13</xdr:row>
      <xdr:rowOff>152400</xdr:rowOff>
    </xdr:from>
    <xdr:to>
      <xdr:col>14</xdr:col>
      <xdr:colOff>434340</xdr:colOff>
      <xdr:row>37</xdr:row>
      <xdr:rowOff>68580</xdr:rowOff>
    </xdr:to>
    <xdr:graphicFrame macro="">
      <xdr:nvGraphicFramePr>
        <xdr:cNvPr id="33" name="Histo_conso_tot_GAZ(16)">
          <a:extLst>
            <a:ext uri="{FF2B5EF4-FFF2-40B4-BE49-F238E27FC236}">
              <a16:creationId xmlns:a16="http://schemas.microsoft.com/office/drawing/2014/main" id="{25BCF203-6FF3-44E6-8408-D456F481F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594360</xdr:colOff>
      <xdr:row>13</xdr:row>
      <xdr:rowOff>152400</xdr:rowOff>
    </xdr:from>
    <xdr:to>
      <xdr:col>17</xdr:col>
      <xdr:colOff>670560</xdr:colOff>
      <xdr:row>37</xdr:row>
      <xdr:rowOff>68580</xdr:rowOff>
    </xdr:to>
    <xdr:graphicFrame macro="">
      <xdr:nvGraphicFramePr>
        <xdr:cNvPr id="34" name="Histo_cout_conso_tot_GAZ(17)">
          <a:extLst>
            <a:ext uri="{FF2B5EF4-FFF2-40B4-BE49-F238E27FC236}">
              <a16:creationId xmlns:a16="http://schemas.microsoft.com/office/drawing/2014/main" id="{CE3498E5-8D55-4726-94E9-46A196E2B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39</xdr:row>
      <xdr:rowOff>91440</xdr:rowOff>
    </xdr:from>
    <xdr:to>
      <xdr:col>8</xdr:col>
      <xdr:colOff>777240</xdr:colOff>
      <xdr:row>64</xdr:row>
      <xdr:rowOff>0</xdr:rowOff>
    </xdr:to>
    <xdr:graphicFrame macro="">
      <xdr:nvGraphicFramePr>
        <xdr:cNvPr id="35" name="Histo_conso_postes_GAZ(18)">
          <a:extLst>
            <a:ext uri="{FF2B5EF4-FFF2-40B4-BE49-F238E27FC236}">
              <a16:creationId xmlns:a16="http://schemas.microsoft.com/office/drawing/2014/main" id="{6EAB88B7-70AE-4FE8-90C2-15AB68729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769620</xdr:colOff>
      <xdr:row>39</xdr:row>
      <xdr:rowOff>83820</xdr:rowOff>
    </xdr:from>
    <xdr:to>
      <xdr:col>18</xdr:col>
      <xdr:colOff>7620</xdr:colOff>
      <xdr:row>64</xdr:row>
      <xdr:rowOff>0</xdr:rowOff>
    </xdr:to>
    <xdr:graphicFrame macro="">
      <xdr:nvGraphicFramePr>
        <xdr:cNvPr id="36" name="Histo_cout_conso_postes_GAZ(19)">
          <a:extLst>
            <a:ext uri="{FF2B5EF4-FFF2-40B4-BE49-F238E27FC236}">
              <a16:creationId xmlns:a16="http://schemas.microsoft.com/office/drawing/2014/main" id="{2B73860B-1A77-4E5F-B7C8-E7226C381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72</xdr:row>
      <xdr:rowOff>175260</xdr:rowOff>
    </xdr:from>
    <xdr:to>
      <xdr:col>10</xdr:col>
      <xdr:colOff>708660</xdr:colOff>
      <xdr:row>105</xdr:row>
      <xdr:rowOff>0</xdr:rowOff>
    </xdr:to>
    <xdr:graphicFrame macro="">
      <xdr:nvGraphicFramePr>
        <xdr:cNvPr id="38" name="Evolution_conso_postes_GAZ(20)">
          <a:extLst>
            <a:ext uri="{FF2B5EF4-FFF2-40B4-BE49-F238E27FC236}">
              <a16:creationId xmlns:a16="http://schemas.microsoft.com/office/drawing/2014/main" id="{2354C601-B7A6-4C50-A811-C74AE25F3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708660</xdr:colOff>
      <xdr:row>72</xdr:row>
      <xdr:rowOff>175260</xdr:rowOff>
    </xdr:from>
    <xdr:to>
      <xdr:col>17</xdr:col>
      <xdr:colOff>784860</xdr:colOff>
      <xdr:row>105</xdr:row>
      <xdr:rowOff>7620</xdr:rowOff>
    </xdr:to>
    <xdr:graphicFrame macro="">
      <xdr:nvGraphicFramePr>
        <xdr:cNvPr id="39" name="Secteur_conso_postes_GAZ(21)">
          <a:extLst>
            <a:ext uri="{FF2B5EF4-FFF2-40B4-BE49-F238E27FC236}">
              <a16:creationId xmlns:a16="http://schemas.microsoft.com/office/drawing/2014/main" id="{67970F4C-F53B-43C3-B8E6-8ED274D0B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388620</xdr:colOff>
      <xdr:row>37</xdr:row>
      <xdr:rowOff>67491</xdr:rowOff>
    </xdr:from>
    <xdr:to>
      <xdr:col>12</xdr:col>
      <xdr:colOff>396240</xdr:colOff>
      <xdr:row>39</xdr:row>
      <xdr:rowOff>91440</xdr:rowOff>
    </xdr:to>
    <xdr:sp macro="" textlink="">
      <xdr:nvSpPr>
        <xdr:cNvPr id="41" name="Rectangle : coins arrondis 40">
          <a:extLst>
            <a:ext uri="{FF2B5EF4-FFF2-40B4-BE49-F238E27FC236}">
              <a16:creationId xmlns:a16="http://schemas.microsoft.com/office/drawing/2014/main" id="{6CD098EA-396E-4AAD-9921-D43B287821D9}"/>
            </a:ext>
          </a:extLst>
        </xdr:cNvPr>
        <xdr:cNvSpPr/>
      </xdr:nvSpPr>
      <xdr:spPr>
        <a:xfrm>
          <a:off x="4351020" y="683405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>
                  <a:lumMod val="50000"/>
                </a:schemeClr>
              </a:solidFill>
            </a:rPr>
            <a:t>Totaal</a:t>
          </a:r>
          <a:r>
            <a:rPr lang="fr-FR" sz="1800" b="1" baseline="0">
              <a:solidFill>
                <a:schemeClr val="bg1">
                  <a:lumMod val="50000"/>
                </a:schemeClr>
              </a:solidFill>
            </a:rPr>
            <a:t> Gasverbruik per item</a:t>
          </a:r>
          <a:endParaRPr lang="fr-FR" sz="1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381000</xdr:colOff>
      <xdr:row>63</xdr:row>
      <xdr:rowOff>82731</xdr:rowOff>
    </xdr:from>
    <xdr:to>
      <xdr:col>12</xdr:col>
      <xdr:colOff>388620</xdr:colOff>
      <xdr:row>65</xdr:row>
      <xdr:rowOff>106680</xdr:rowOff>
    </xdr:to>
    <xdr:sp macro="" textlink="">
      <xdr:nvSpPr>
        <xdr:cNvPr id="42" name="Rectangle : coins arrondis 41">
          <a:extLst>
            <a:ext uri="{FF2B5EF4-FFF2-40B4-BE49-F238E27FC236}">
              <a16:creationId xmlns:a16="http://schemas.microsoft.com/office/drawing/2014/main" id="{F31CB613-76AC-4137-9C76-EC828BD99573}"/>
            </a:ext>
          </a:extLst>
        </xdr:cNvPr>
        <xdr:cNvSpPr/>
      </xdr:nvSpPr>
      <xdr:spPr>
        <a:xfrm>
          <a:off x="4343400" y="1160417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>
                  <a:lumMod val="50000"/>
                </a:schemeClr>
              </a:solidFill>
            </a:rPr>
            <a:t>Totaal</a:t>
          </a:r>
          <a:r>
            <a:rPr lang="fr-FR" sz="1800" b="1" baseline="0">
              <a:solidFill>
                <a:schemeClr val="bg1">
                  <a:lumMod val="50000"/>
                </a:schemeClr>
              </a:solidFill>
            </a:rPr>
            <a:t> Gasverbruik per item per periode</a:t>
          </a:r>
          <a:endParaRPr lang="fr-FR" sz="1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8467</xdr:colOff>
      <xdr:row>13</xdr:row>
      <xdr:rowOff>5715</xdr:rowOff>
    </xdr:from>
    <xdr:to>
      <xdr:col>0</xdr:col>
      <xdr:colOff>511387</xdr:colOff>
      <xdr:row>15</xdr:row>
      <xdr:rowOff>176107</xdr:rowOff>
    </xdr:to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53FA0E4C-AE05-4C1E-A6A6-91A894AB573F}"/>
            </a:ext>
          </a:extLst>
        </xdr:cNvPr>
        <xdr:cNvSpPr txBox="1"/>
      </xdr:nvSpPr>
      <xdr:spPr>
        <a:xfrm>
          <a:off x="8467" y="2427182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(15)</a:t>
          </a:r>
        </a:p>
      </xdr:txBody>
    </xdr:sp>
    <xdr:clientData/>
  </xdr:twoCellAnchor>
  <xdr:twoCellAnchor>
    <xdr:from>
      <xdr:col>10</xdr:col>
      <xdr:colOff>373803</xdr:colOff>
      <xdr:row>13</xdr:row>
      <xdr:rowOff>37888</xdr:rowOff>
    </xdr:from>
    <xdr:to>
      <xdr:col>11</xdr:col>
      <xdr:colOff>78952</xdr:colOff>
      <xdr:row>16</xdr:row>
      <xdr:rowOff>22013</xdr:rowOff>
    </xdr:to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1D13084F-5800-45F0-867B-3E398E498084}"/>
            </a:ext>
          </a:extLst>
        </xdr:cNvPr>
        <xdr:cNvSpPr txBox="1"/>
      </xdr:nvSpPr>
      <xdr:spPr>
        <a:xfrm>
          <a:off x="8332470" y="2459355"/>
          <a:ext cx="50101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(16)</a:t>
          </a:r>
        </a:p>
      </xdr:txBody>
    </xdr:sp>
    <xdr:clientData/>
  </xdr:twoCellAnchor>
  <xdr:twoCellAnchor>
    <xdr:from>
      <xdr:col>17</xdr:col>
      <xdr:colOff>222462</xdr:colOff>
      <xdr:row>13</xdr:row>
      <xdr:rowOff>43603</xdr:rowOff>
    </xdr:from>
    <xdr:to>
      <xdr:col>17</xdr:col>
      <xdr:colOff>725382</xdr:colOff>
      <xdr:row>16</xdr:row>
      <xdr:rowOff>27728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9B5DDF17-521D-485F-BFAA-E1FF97FFDD6F}"/>
            </a:ext>
          </a:extLst>
        </xdr:cNvPr>
        <xdr:cNvSpPr txBox="1"/>
      </xdr:nvSpPr>
      <xdr:spPr>
        <a:xfrm>
          <a:off x="13752195" y="2465070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(17)</a:t>
          </a:r>
        </a:p>
      </xdr:txBody>
    </xdr:sp>
    <xdr:clientData/>
  </xdr:twoCellAnchor>
  <xdr:twoCellAnchor>
    <xdr:from>
      <xdr:col>0</xdr:col>
      <xdr:colOff>0</xdr:colOff>
      <xdr:row>38</xdr:row>
      <xdr:rowOff>183307</xdr:rowOff>
    </xdr:from>
    <xdr:to>
      <xdr:col>0</xdr:col>
      <xdr:colOff>502920</xdr:colOff>
      <xdr:row>41</xdr:row>
      <xdr:rowOff>167432</xdr:rowOff>
    </xdr:to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5676CFB9-1BB2-405A-83F7-29567F9102CD}"/>
            </a:ext>
          </a:extLst>
        </xdr:cNvPr>
        <xdr:cNvSpPr txBox="1"/>
      </xdr:nvSpPr>
      <xdr:spPr>
        <a:xfrm>
          <a:off x="0" y="7261440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(18)</a:t>
          </a:r>
        </a:p>
      </xdr:txBody>
    </xdr:sp>
    <xdr:clientData/>
  </xdr:twoCellAnchor>
  <xdr:twoCellAnchor>
    <xdr:from>
      <xdr:col>17</xdr:col>
      <xdr:colOff>281517</xdr:colOff>
      <xdr:row>39</xdr:row>
      <xdr:rowOff>6565</xdr:rowOff>
    </xdr:from>
    <xdr:to>
      <xdr:col>17</xdr:col>
      <xdr:colOff>784437</xdr:colOff>
      <xdr:row>41</xdr:row>
      <xdr:rowOff>176957</xdr:rowOff>
    </xdr:to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id="{7CE1C1E2-3B53-4387-B887-4CD362D8148D}"/>
            </a:ext>
          </a:extLst>
        </xdr:cNvPr>
        <xdr:cNvSpPr txBox="1"/>
      </xdr:nvSpPr>
      <xdr:spPr>
        <a:xfrm>
          <a:off x="13811250" y="7270965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(19)</a:t>
          </a:r>
        </a:p>
      </xdr:txBody>
    </xdr:sp>
    <xdr:clientData/>
  </xdr:twoCellAnchor>
  <xdr:twoCellAnchor>
    <xdr:from>
      <xdr:col>0</xdr:col>
      <xdr:colOff>0</xdr:colOff>
      <xdr:row>73</xdr:row>
      <xdr:rowOff>4446</xdr:rowOff>
    </xdr:from>
    <xdr:to>
      <xdr:col>0</xdr:col>
      <xdr:colOff>502920</xdr:colOff>
      <xdr:row>75</xdr:row>
      <xdr:rowOff>174838</xdr:rowOff>
    </xdr:to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7D41A4FD-A47F-419C-A261-183667450393}"/>
            </a:ext>
          </a:extLst>
        </xdr:cNvPr>
        <xdr:cNvSpPr txBox="1"/>
      </xdr:nvSpPr>
      <xdr:spPr>
        <a:xfrm>
          <a:off x="0" y="13601913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(20)</a:t>
          </a:r>
        </a:p>
      </xdr:txBody>
    </xdr:sp>
    <xdr:clientData/>
  </xdr:twoCellAnchor>
  <xdr:twoCellAnchor>
    <xdr:from>
      <xdr:col>17</xdr:col>
      <xdr:colOff>281517</xdr:colOff>
      <xdr:row>73</xdr:row>
      <xdr:rowOff>4446</xdr:rowOff>
    </xdr:from>
    <xdr:to>
      <xdr:col>17</xdr:col>
      <xdr:colOff>784437</xdr:colOff>
      <xdr:row>75</xdr:row>
      <xdr:rowOff>174838</xdr:rowOff>
    </xdr:to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37F96588-395C-496D-9684-3CC518BF2B7A}"/>
            </a:ext>
          </a:extLst>
        </xdr:cNvPr>
        <xdr:cNvSpPr txBox="1"/>
      </xdr:nvSpPr>
      <xdr:spPr>
        <a:xfrm>
          <a:off x="13811250" y="13601913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(21)</a:t>
          </a:r>
        </a:p>
      </xdr:txBody>
    </xdr:sp>
    <xdr:clientData/>
  </xdr:twoCellAnchor>
  <xdr:twoCellAnchor editAs="oneCell">
    <xdr:from>
      <xdr:col>7</xdr:col>
      <xdr:colOff>660399</xdr:colOff>
      <xdr:row>22</xdr:row>
      <xdr:rowOff>52495</xdr:rowOff>
    </xdr:from>
    <xdr:to>
      <xdr:col>10</xdr:col>
      <xdr:colOff>101599</xdr:colOff>
      <xdr:row>36</xdr:row>
      <xdr:rowOff>110067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AAND 1">
              <a:extLst>
                <a:ext uri="{FF2B5EF4-FFF2-40B4-BE49-F238E27FC236}">
                  <a16:creationId xmlns:a16="http://schemas.microsoft.com/office/drawing/2014/main" id="{0A791850-F3AF-E7F6-3558-56322B87C9A8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AND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31466" y="4150362"/>
              <a:ext cx="1828800" cy="26653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657858</xdr:colOff>
      <xdr:row>14</xdr:row>
      <xdr:rowOff>41487</xdr:rowOff>
    </xdr:from>
    <xdr:to>
      <xdr:col>10</xdr:col>
      <xdr:colOff>99058</xdr:colOff>
      <xdr:row>22</xdr:row>
      <xdr:rowOff>59267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JAAR 1">
              <a:extLst>
                <a:ext uri="{FF2B5EF4-FFF2-40B4-BE49-F238E27FC236}">
                  <a16:creationId xmlns:a16="http://schemas.microsoft.com/office/drawing/2014/main" id="{856E0B71-7722-0609-0657-717F1B9548A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AA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28925" y="2649220"/>
              <a:ext cx="1828800" cy="15079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46565</xdr:colOff>
      <xdr:row>65</xdr:row>
      <xdr:rowOff>146474</xdr:rowOff>
    </xdr:from>
    <xdr:to>
      <xdr:col>17</xdr:col>
      <xdr:colOff>736599</xdr:colOff>
      <xdr:row>71</xdr:row>
      <xdr:rowOff>141394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13" name="Mannd/Jaar">
              <a:extLst>
                <a:ext uri="{FF2B5EF4-FFF2-40B4-BE49-F238E27FC236}">
                  <a16:creationId xmlns:a16="http://schemas.microsoft.com/office/drawing/2014/main" id="{8BF4CCFE-94BB-5684-E1CF-F01B3A0B7D9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Mannd/Jaa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565" y="12253807"/>
              <a:ext cx="14219767" cy="11125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Chronologie : fonctionne dans Excel 2013 ou version ultérieure. Ne pas déplacer ou redimensionner.</a:t>
              </a:r>
            </a:p>
          </xdr:txBody>
        </xdr:sp>
      </mc:Fallback>
    </mc:AlternateContent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7</xdr:row>
      <xdr:rowOff>121920</xdr:rowOff>
    </xdr:from>
    <xdr:to>
      <xdr:col>5</xdr:col>
      <xdr:colOff>182880</xdr:colOff>
      <xdr:row>11</xdr:row>
      <xdr:rowOff>0</xdr:rowOff>
    </xdr:to>
    <xdr:grpSp>
      <xdr:nvGrpSpPr>
        <xdr:cNvPr id="23" name="Groupe 22">
          <a:extLst>
            <a:ext uri="{FF2B5EF4-FFF2-40B4-BE49-F238E27FC236}">
              <a16:creationId xmlns:a16="http://schemas.microsoft.com/office/drawing/2014/main" id="{539899B9-F80C-4318-9B8F-C1002C92E147}"/>
            </a:ext>
          </a:extLst>
        </xdr:cNvPr>
        <xdr:cNvGrpSpPr/>
      </xdr:nvGrpSpPr>
      <xdr:grpSpPr>
        <a:xfrm>
          <a:off x="281940" y="1455420"/>
          <a:ext cx="3758565" cy="640080"/>
          <a:chOff x="289560" y="3048000"/>
          <a:chExt cx="3863340" cy="609600"/>
        </a:xfrm>
      </xdr:grpSpPr>
      <xdr:sp macro="" textlink="">
        <xdr:nvSpPr>
          <xdr:cNvPr id="24" name="Rectangle : coins arrondis 23">
            <a:extLst>
              <a:ext uri="{FF2B5EF4-FFF2-40B4-BE49-F238E27FC236}">
                <a16:creationId xmlns:a16="http://schemas.microsoft.com/office/drawing/2014/main" id="{46E81364-2D1A-8309-78EB-ED72FDFC4759}"/>
              </a:ext>
            </a:extLst>
          </xdr:cNvPr>
          <xdr:cNvSpPr/>
        </xdr:nvSpPr>
        <xdr:spPr>
          <a:xfrm>
            <a:off x="367064" y="3107871"/>
            <a:ext cx="3785836" cy="471352"/>
          </a:xfrm>
          <a:prstGeom prst="roundRect">
            <a:avLst/>
          </a:prstGeom>
          <a:solidFill>
            <a:schemeClr val="accent1"/>
          </a:solidFill>
          <a:ln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100" b="1" baseline="0"/>
              <a:t>WATERVERBRUIK</a:t>
            </a:r>
          </a:p>
        </xdr:txBody>
      </xdr:sp>
      <xdr:grpSp>
        <xdr:nvGrpSpPr>
          <xdr:cNvPr id="25" name="Groupe 24">
            <a:extLst>
              <a:ext uri="{FF2B5EF4-FFF2-40B4-BE49-F238E27FC236}">
                <a16:creationId xmlns:a16="http://schemas.microsoft.com/office/drawing/2014/main" id="{C15D83AD-C25F-8A38-F1CE-CA4A66B982BA}"/>
              </a:ext>
            </a:extLst>
          </xdr:cNvPr>
          <xdr:cNvGrpSpPr/>
        </xdr:nvGrpSpPr>
        <xdr:grpSpPr>
          <a:xfrm>
            <a:off x="289560" y="3048000"/>
            <a:ext cx="696685" cy="609600"/>
            <a:chOff x="620497" y="805544"/>
            <a:chExt cx="696685" cy="609600"/>
          </a:xfrm>
        </xdr:grpSpPr>
        <xdr:sp macro="" textlink="">
          <xdr:nvSpPr>
            <xdr:cNvPr id="26" name="Organigramme : Préparation 25">
              <a:extLst>
                <a:ext uri="{FF2B5EF4-FFF2-40B4-BE49-F238E27FC236}">
                  <a16:creationId xmlns:a16="http://schemas.microsoft.com/office/drawing/2014/main" id="{2476FC30-1F98-ECBF-DE70-67742957731B}"/>
                </a:ext>
              </a:extLst>
            </xdr:cNvPr>
            <xdr:cNvSpPr/>
          </xdr:nvSpPr>
          <xdr:spPr>
            <a:xfrm>
              <a:off x="620497" y="805544"/>
              <a:ext cx="696685" cy="609600"/>
            </a:xfrm>
            <a:prstGeom prst="flowChartPreparation">
              <a:avLst/>
            </a:prstGeom>
            <a:solidFill>
              <a:schemeClr val="bg1"/>
            </a:solidFill>
            <a:ln w="28575">
              <a:solidFill>
                <a:schemeClr val="accent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27" name="Graphique 26" descr="Eau avec un remplissage uni">
              <a:extLst>
                <a:ext uri="{FF2B5EF4-FFF2-40B4-BE49-F238E27FC236}">
                  <a16:creationId xmlns:a16="http://schemas.microsoft.com/office/drawing/2014/main" id="{AE543845-66EA-24EF-3511-CEA1B94ADB7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729343" y="870857"/>
              <a:ext cx="457199" cy="457199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13</xdr:col>
      <xdr:colOff>30480</xdr:colOff>
      <xdr:row>8</xdr:row>
      <xdr:rowOff>7620</xdr:rowOff>
    </xdr:from>
    <xdr:to>
      <xdr:col>17</xdr:col>
      <xdr:colOff>646398</xdr:colOff>
      <xdr:row>10</xdr:row>
      <xdr:rowOff>113212</xdr:rowOff>
    </xdr:to>
    <xdr:sp macro="" textlink="">
      <xdr:nvSpPr>
        <xdr:cNvPr id="29" name="Rectangle : coins arrondis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20371B-2FC6-4B1B-B299-E1D504BD684D}"/>
            </a:ext>
          </a:extLst>
        </xdr:cNvPr>
        <xdr:cNvSpPr/>
      </xdr:nvSpPr>
      <xdr:spPr>
        <a:xfrm>
          <a:off x="10332720" y="1470660"/>
          <a:ext cx="3785838" cy="471352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ELEKTRICITEITSVERBRUIK</a:t>
          </a:r>
        </a:p>
      </xdr:txBody>
    </xdr:sp>
    <xdr:clientData/>
  </xdr:twoCellAnchor>
  <xdr:twoCellAnchor>
    <xdr:from>
      <xdr:col>5</xdr:col>
      <xdr:colOff>388620</xdr:colOff>
      <xdr:row>4</xdr:row>
      <xdr:rowOff>82731</xdr:rowOff>
    </xdr:from>
    <xdr:to>
      <xdr:col>12</xdr:col>
      <xdr:colOff>396240</xdr:colOff>
      <xdr:row>6</xdr:row>
      <xdr:rowOff>106680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6DB00F3E-7027-4209-95EF-30DC04576B3E}"/>
            </a:ext>
          </a:extLst>
        </xdr:cNvPr>
        <xdr:cNvSpPr/>
      </xdr:nvSpPr>
      <xdr:spPr>
        <a:xfrm>
          <a:off x="4351020" y="81425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>
                  <a:lumMod val="50000"/>
                </a:schemeClr>
              </a:solidFill>
            </a:rPr>
            <a:t>VERBRUIKSDASHBOARD</a:t>
          </a:r>
        </a:p>
      </xdr:txBody>
    </xdr:sp>
    <xdr:clientData/>
  </xdr:twoCellAnchor>
  <xdr:twoCellAnchor>
    <xdr:from>
      <xdr:col>6</xdr:col>
      <xdr:colOff>576943</xdr:colOff>
      <xdr:row>7</xdr:row>
      <xdr:rowOff>181791</xdr:rowOff>
    </xdr:from>
    <xdr:to>
      <xdr:col>11</xdr:col>
      <xdr:colOff>400381</xdr:colOff>
      <xdr:row>10</xdr:row>
      <xdr:rowOff>104503</xdr:rowOff>
    </xdr:to>
    <xdr:sp macro="" textlink="">
      <xdr:nvSpPr>
        <xdr:cNvPr id="4" name="Rectangle : coins arrondis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BF0882-E3DA-4E1F-9246-3D229FE91376}"/>
            </a:ext>
          </a:extLst>
        </xdr:cNvPr>
        <xdr:cNvSpPr/>
      </xdr:nvSpPr>
      <xdr:spPr>
        <a:xfrm>
          <a:off x="5331823" y="1461951"/>
          <a:ext cx="3785838" cy="471352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GASVERBRUIK</a:t>
          </a:r>
        </a:p>
      </xdr:txBody>
    </xdr:sp>
    <xdr:clientData/>
  </xdr:twoCellAnchor>
  <xdr:twoCellAnchor editAs="oneCell">
    <xdr:from>
      <xdr:col>0</xdr:col>
      <xdr:colOff>236220</xdr:colOff>
      <xdr:row>0</xdr:row>
      <xdr:rowOff>146376</xdr:rowOff>
    </xdr:from>
    <xdr:to>
      <xdr:col>1</xdr:col>
      <xdr:colOff>634274</xdr:colOff>
      <xdr:row>2</xdr:row>
      <xdr:rowOff>181049</xdr:rowOff>
    </xdr:to>
    <xdr:pic>
      <xdr:nvPicPr>
        <xdr:cNvPr id="5" name="Image 4" descr="Afficher l’image source">
          <a:extLst>
            <a:ext uri="{FF2B5EF4-FFF2-40B4-BE49-F238E27FC236}">
              <a16:creationId xmlns:a16="http://schemas.microsoft.com/office/drawing/2014/main" id="{917BBD5B-3B92-4AFD-BF57-E6EB32160B9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2432" r="3758" b="14364"/>
        <a:stretch/>
      </xdr:blipFill>
      <xdr:spPr bwMode="auto">
        <a:xfrm>
          <a:off x="236220" y="146376"/>
          <a:ext cx="1190534" cy="400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512706</xdr:colOff>
      <xdr:row>0</xdr:row>
      <xdr:rowOff>0</xdr:rowOff>
    </xdr:from>
    <xdr:to>
      <xdr:col>17</xdr:col>
      <xdr:colOff>666002</xdr:colOff>
      <xdr:row>3</xdr:row>
      <xdr:rowOff>141642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802A661E-D3E8-4681-BF8A-2D64BEC6C67F}"/>
            </a:ext>
          </a:extLst>
        </xdr:cNvPr>
        <xdr:cNvGrpSpPr/>
      </xdr:nvGrpSpPr>
      <xdr:grpSpPr>
        <a:xfrm>
          <a:off x="11314056" y="0"/>
          <a:ext cx="2467871" cy="713142"/>
          <a:chOff x="13193649" y="0"/>
          <a:chExt cx="2530736" cy="690282"/>
        </a:xfrm>
      </xdr:grpSpPr>
      <xdr:pic>
        <xdr:nvPicPr>
          <xdr:cNvPr id="8" name="Image 7">
            <a:extLst>
              <a:ext uri="{FF2B5EF4-FFF2-40B4-BE49-F238E27FC236}">
                <a16:creationId xmlns:a16="http://schemas.microsoft.com/office/drawing/2014/main" id="{6EA6E46C-54AF-E8C9-653C-5B03BAC8C2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395164" y="0"/>
            <a:ext cx="1329221" cy="690282"/>
          </a:xfrm>
          <a:prstGeom prst="rect">
            <a:avLst/>
          </a:prstGeom>
        </xdr:spPr>
      </xdr:pic>
      <xdr:pic>
        <xdr:nvPicPr>
          <xdr:cNvPr id="9" name="Image 8">
            <a:extLst>
              <a:ext uri="{FF2B5EF4-FFF2-40B4-BE49-F238E27FC236}">
                <a16:creationId xmlns:a16="http://schemas.microsoft.com/office/drawing/2014/main" id="{12C63292-81DD-92A3-2552-05AC68EB06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93649" y="69317"/>
            <a:ext cx="1176530" cy="58521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388620</xdr:colOff>
      <xdr:row>11</xdr:row>
      <xdr:rowOff>67491</xdr:rowOff>
    </xdr:from>
    <xdr:to>
      <xdr:col>12</xdr:col>
      <xdr:colOff>396240</xdr:colOff>
      <xdr:row>13</xdr:row>
      <xdr:rowOff>91440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EA9ED7F5-8BA4-45AF-9293-77934BCF3B87}"/>
            </a:ext>
          </a:extLst>
        </xdr:cNvPr>
        <xdr:cNvSpPr/>
      </xdr:nvSpPr>
      <xdr:spPr>
        <a:xfrm>
          <a:off x="4351020" y="207917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>
                  <a:lumMod val="50000"/>
                </a:schemeClr>
              </a:solidFill>
            </a:rPr>
            <a:t>Totaal</a:t>
          </a:r>
          <a:r>
            <a:rPr lang="fr-FR" sz="1800" b="1" baseline="0">
              <a:solidFill>
                <a:schemeClr val="bg1">
                  <a:lumMod val="50000"/>
                </a:schemeClr>
              </a:solidFill>
            </a:rPr>
            <a:t> Waterverbruik</a:t>
          </a:r>
          <a:endParaRPr lang="fr-FR" sz="1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15</xdr:col>
      <xdr:colOff>198120</xdr:colOff>
      <xdr:row>4</xdr:row>
      <xdr:rowOff>44631</xdr:rowOff>
    </xdr:from>
    <xdr:to>
      <xdr:col>17</xdr:col>
      <xdr:colOff>220980</xdr:colOff>
      <xdr:row>5</xdr:row>
      <xdr:rowOff>106680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52B7E5EB-5AE8-4D95-B84C-D1C68EF521CD}"/>
            </a:ext>
          </a:extLst>
        </xdr:cNvPr>
        <xdr:cNvSpPr/>
      </xdr:nvSpPr>
      <xdr:spPr>
        <a:xfrm>
          <a:off x="12085320" y="776151"/>
          <a:ext cx="1607820" cy="24492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500" b="1">
              <a:solidFill>
                <a:schemeClr val="bg1">
                  <a:lumMod val="50000"/>
                </a:schemeClr>
              </a:solidFill>
            </a:rPr>
            <a:t>DATABASE</a:t>
          </a:r>
        </a:p>
      </xdr:txBody>
    </xdr:sp>
    <xdr:clientData/>
  </xdr:twoCellAnchor>
  <xdr:twoCellAnchor editAs="oneCell">
    <xdr:from>
      <xdr:col>16</xdr:col>
      <xdr:colOff>656720</xdr:colOff>
      <xdr:row>4</xdr:row>
      <xdr:rowOff>146247</xdr:rowOff>
    </xdr:from>
    <xdr:to>
      <xdr:col>17</xdr:col>
      <xdr:colOff>240996</xdr:colOff>
      <xdr:row>6</xdr:row>
      <xdr:rowOff>157243</xdr:rowOff>
    </xdr:to>
    <xdr:pic>
      <xdr:nvPicPr>
        <xdr:cNvPr id="12" name="Graphique 11" descr="Flèche : incurvée dans le sens des aiguilles d’une montre avec un remplissage uni">
          <a:extLst>
            <a:ext uri="{FF2B5EF4-FFF2-40B4-BE49-F238E27FC236}">
              <a16:creationId xmlns:a16="http://schemas.microsoft.com/office/drawing/2014/main" id="{F119862E-4BFA-4988-BB4B-1D0C1724C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 rot="7685067">
          <a:off x="13336400" y="877767"/>
          <a:ext cx="376756" cy="376756"/>
        </a:xfrm>
        <a:prstGeom prst="rect">
          <a:avLst/>
        </a:prstGeom>
      </xdr:spPr>
    </xdr:pic>
    <xdr:clientData/>
  </xdr:twoCellAnchor>
  <xdr:twoCellAnchor editAs="oneCell">
    <xdr:from>
      <xdr:col>17</xdr:col>
      <xdr:colOff>198120</xdr:colOff>
      <xdr:row>4</xdr:row>
      <xdr:rowOff>22860</xdr:rowOff>
    </xdr:from>
    <xdr:to>
      <xdr:col>17</xdr:col>
      <xdr:colOff>698640</xdr:colOff>
      <xdr:row>6</xdr:row>
      <xdr:rowOff>157620</xdr:rowOff>
    </xdr:to>
    <xdr:pic>
      <xdr:nvPicPr>
        <xdr:cNvPr id="31" name="Graphique 30" descr="Engrenage avec un remplissage uni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037CC1B-2C8E-4859-BDB1-D93F8EA3F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3670280" y="754380"/>
          <a:ext cx="500520" cy="5005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91440</xdr:rowOff>
    </xdr:from>
    <xdr:to>
      <xdr:col>7</xdr:col>
      <xdr:colOff>434340</xdr:colOff>
      <xdr:row>36</xdr:row>
      <xdr:rowOff>114300</xdr:rowOff>
    </xdr:to>
    <xdr:graphicFrame macro="">
      <xdr:nvGraphicFramePr>
        <xdr:cNvPr id="32" name="Evolution_conso_tot_EAU(8)">
          <a:extLst>
            <a:ext uri="{FF2B5EF4-FFF2-40B4-BE49-F238E27FC236}">
              <a16:creationId xmlns:a16="http://schemas.microsoft.com/office/drawing/2014/main" id="{7E65001E-BF35-4235-9ABC-A51ACED7E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365760</xdr:colOff>
      <xdr:row>13</xdr:row>
      <xdr:rowOff>129540</xdr:rowOff>
    </xdr:from>
    <xdr:to>
      <xdr:col>14</xdr:col>
      <xdr:colOff>556260</xdr:colOff>
      <xdr:row>36</xdr:row>
      <xdr:rowOff>83820</xdr:rowOff>
    </xdr:to>
    <xdr:graphicFrame macro="">
      <xdr:nvGraphicFramePr>
        <xdr:cNvPr id="33" name="Histo_conso_tot_EAU(9)">
          <a:extLst>
            <a:ext uri="{FF2B5EF4-FFF2-40B4-BE49-F238E27FC236}">
              <a16:creationId xmlns:a16="http://schemas.microsoft.com/office/drawing/2014/main" id="{76A69A5A-9A5B-4711-933E-2740BC80CD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53340</xdr:colOff>
      <xdr:row>13</xdr:row>
      <xdr:rowOff>129540</xdr:rowOff>
    </xdr:from>
    <xdr:to>
      <xdr:col>17</xdr:col>
      <xdr:colOff>708660</xdr:colOff>
      <xdr:row>36</xdr:row>
      <xdr:rowOff>83820</xdr:rowOff>
    </xdr:to>
    <xdr:graphicFrame macro="">
      <xdr:nvGraphicFramePr>
        <xdr:cNvPr id="34" name="Histo_cout_conso_tot_EAU(10)">
          <a:extLst>
            <a:ext uri="{FF2B5EF4-FFF2-40B4-BE49-F238E27FC236}">
              <a16:creationId xmlns:a16="http://schemas.microsoft.com/office/drawing/2014/main" id="{4CB8D3CC-DF77-4F37-98E3-9F82BF84D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38</xdr:row>
      <xdr:rowOff>175260</xdr:rowOff>
    </xdr:from>
    <xdr:to>
      <xdr:col>9</xdr:col>
      <xdr:colOff>7620</xdr:colOff>
      <xdr:row>64</xdr:row>
      <xdr:rowOff>0</xdr:rowOff>
    </xdr:to>
    <xdr:graphicFrame macro="">
      <xdr:nvGraphicFramePr>
        <xdr:cNvPr id="35" name="Histo_conso_postes_EAU(11)">
          <a:extLst>
            <a:ext uri="{FF2B5EF4-FFF2-40B4-BE49-F238E27FC236}">
              <a16:creationId xmlns:a16="http://schemas.microsoft.com/office/drawing/2014/main" id="{7C5D19AA-C472-477C-A4ED-74D75B035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18</xdr:col>
      <xdr:colOff>7620</xdr:colOff>
      <xdr:row>64</xdr:row>
      <xdr:rowOff>7620</xdr:rowOff>
    </xdr:to>
    <xdr:graphicFrame macro="">
      <xdr:nvGraphicFramePr>
        <xdr:cNvPr id="36" name="Histo_cout_conso_postes_EAU(12)">
          <a:extLst>
            <a:ext uri="{FF2B5EF4-FFF2-40B4-BE49-F238E27FC236}">
              <a16:creationId xmlns:a16="http://schemas.microsoft.com/office/drawing/2014/main" id="{2D80ACA3-E61C-4BEB-A523-CB778C1AE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72</xdr:row>
      <xdr:rowOff>163830</xdr:rowOff>
    </xdr:from>
    <xdr:to>
      <xdr:col>10</xdr:col>
      <xdr:colOff>662940</xdr:colOff>
      <xdr:row>105</xdr:row>
      <xdr:rowOff>7620</xdr:rowOff>
    </xdr:to>
    <xdr:graphicFrame macro="">
      <xdr:nvGraphicFramePr>
        <xdr:cNvPr id="37" name="Evolution_conso_postes_EAU(13)">
          <a:extLst>
            <a:ext uri="{FF2B5EF4-FFF2-40B4-BE49-F238E27FC236}">
              <a16:creationId xmlns:a16="http://schemas.microsoft.com/office/drawing/2014/main" id="{5CF28C78-CC9C-4885-934B-B242E4089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655320</xdr:colOff>
      <xdr:row>72</xdr:row>
      <xdr:rowOff>175260</xdr:rowOff>
    </xdr:from>
    <xdr:to>
      <xdr:col>18</xdr:col>
      <xdr:colOff>0</xdr:colOff>
      <xdr:row>105</xdr:row>
      <xdr:rowOff>3810</xdr:rowOff>
    </xdr:to>
    <xdr:graphicFrame macro="">
      <xdr:nvGraphicFramePr>
        <xdr:cNvPr id="39" name="Secteur_conso_postes_EAU(14)">
          <a:extLst>
            <a:ext uri="{FF2B5EF4-FFF2-40B4-BE49-F238E27FC236}">
              <a16:creationId xmlns:a16="http://schemas.microsoft.com/office/drawing/2014/main" id="{B13D0D62-DFA0-4599-9A93-7C07E3507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236220</xdr:colOff>
      <xdr:row>36</xdr:row>
      <xdr:rowOff>97971</xdr:rowOff>
    </xdr:from>
    <xdr:to>
      <xdr:col>12</xdr:col>
      <xdr:colOff>243840</xdr:colOff>
      <xdr:row>38</xdr:row>
      <xdr:rowOff>121920</xdr:rowOff>
    </xdr:to>
    <xdr:sp macro="" textlink="">
      <xdr:nvSpPr>
        <xdr:cNvPr id="41" name="Rectangle : coins arrondis 40">
          <a:extLst>
            <a:ext uri="{FF2B5EF4-FFF2-40B4-BE49-F238E27FC236}">
              <a16:creationId xmlns:a16="http://schemas.microsoft.com/office/drawing/2014/main" id="{6262A2CA-D89A-4445-BD47-33596EB29543}"/>
            </a:ext>
          </a:extLst>
        </xdr:cNvPr>
        <xdr:cNvSpPr/>
      </xdr:nvSpPr>
      <xdr:spPr>
        <a:xfrm>
          <a:off x="4198620" y="668165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>
                  <a:lumMod val="50000"/>
                </a:schemeClr>
              </a:solidFill>
            </a:rPr>
            <a:t>Totaal</a:t>
          </a:r>
          <a:r>
            <a:rPr lang="fr-FR" sz="1800" b="1" baseline="0">
              <a:solidFill>
                <a:schemeClr val="bg1">
                  <a:lumMod val="50000"/>
                </a:schemeClr>
              </a:solidFill>
            </a:rPr>
            <a:t> Waterverbruik per item</a:t>
          </a:r>
          <a:endParaRPr lang="fr-FR" sz="1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228600</xdr:colOff>
      <xdr:row>63</xdr:row>
      <xdr:rowOff>59871</xdr:rowOff>
    </xdr:from>
    <xdr:to>
      <xdr:col>12</xdr:col>
      <xdr:colOff>236220</xdr:colOff>
      <xdr:row>65</xdr:row>
      <xdr:rowOff>83820</xdr:rowOff>
    </xdr:to>
    <xdr:sp macro="" textlink="">
      <xdr:nvSpPr>
        <xdr:cNvPr id="42" name="Rectangle : coins arrondis 41">
          <a:extLst>
            <a:ext uri="{FF2B5EF4-FFF2-40B4-BE49-F238E27FC236}">
              <a16:creationId xmlns:a16="http://schemas.microsoft.com/office/drawing/2014/main" id="{F5CA9E04-E7A0-41B2-9C94-D8962DADB280}"/>
            </a:ext>
          </a:extLst>
        </xdr:cNvPr>
        <xdr:cNvSpPr/>
      </xdr:nvSpPr>
      <xdr:spPr>
        <a:xfrm>
          <a:off x="4191000" y="1158131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>
                  <a:lumMod val="50000"/>
                </a:schemeClr>
              </a:solidFill>
            </a:rPr>
            <a:t>Totaal</a:t>
          </a:r>
          <a:r>
            <a:rPr lang="fr-FR" sz="1800" b="1" baseline="0">
              <a:solidFill>
                <a:schemeClr val="bg1">
                  <a:lumMod val="50000"/>
                </a:schemeClr>
              </a:solidFill>
            </a:rPr>
            <a:t> Waterverbruik per item per periode</a:t>
          </a:r>
          <a:endParaRPr lang="fr-FR" sz="1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12</xdr:row>
      <xdr:rowOff>173355</xdr:rowOff>
    </xdr:from>
    <xdr:to>
      <xdr:col>0</xdr:col>
      <xdr:colOff>502920</xdr:colOff>
      <xdr:row>15</xdr:row>
      <xdr:rowOff>167640</xdr:rowOff>
    </xdr:to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C1996BDF-295F-41A7-AB36-D729C508D36F}"/>
            </a:ext>
          </a:extLst>
        </xdr:cNvPr>
        <xdr:cNvSpPr txBox="1"/>
      </xdr:nvSpPr>
      <xdr:spPr>
        <a:xfrm>
          <a:off x="0" y="2367915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(8)</a:t>
          </a:r>
        </a:p>
      </xdr:txBody>
    </xdr:sp>
    <xdr:clientData/>
  </xdr:twoCellAnchor>
  <xdr:twoCellAnchor>
    <xdr:from>
      <xdr:col>10</xdr:col>
      <xdr:colOff>407670</xdr:colOff>
      <xdr:row>13</xdr:row>
      <xdr:rowOff>81915</xdr:rowOff>
    </xdr:from>
    <xdr:to>
      <xdr:col>11</xdr:col>
      <xdr:colOff>116205</xdr:colOff>
      <xdr:row>16</xdr:row>
      <xdr:rowOff>76200</xdr:rowOff>
    </xdr:to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B95E3843-7DB7-4266-84BD-3F21AEA170AD}"/>
            </a:ext>
          </a:extLst>
        </xdr:cNvPr>
        <xdr:cNvSpPr txBox="1"/>
      </xdr:nvSpPr>
      <xdr:spPr>
        <a:xfrm>
          <a:off x="8332470" y="2459355"/>
          <a:ext cx="50101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(9)</a:t>
          </a:r>
        </a:p>
      </xdr:txBody>
    </xdr:sp>
    <xdr:clientData/>
  </xdr:twoCellAnchor>
  <xdr:twoCellAnchor>
    <xdr:from>
      <xdr:col>17</xdr:col>
      <xdr:colOff>287655</xdr:colOff>
      <xdr:row>13</xdr:row>
      <xdr:rowOff>19050</xdr:rowOff>
    </xdr:from>
    <xdr:to>
      <xdr:col>17</xdr:col>
      <xdr:colOff>790575</xdr:colOff>
      <xdr:row>16</xdr:row>
      <xdr:rowOff>13335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DE10BA73-F8FC-47F1-9B96-5CAC0D9453E5}"/>
            </a:ext>
          </a:extLst>
        </xdr:cNvPr>
        <xdr:cNvSpPr txBox="1"/>
      </xdr:nvSpPr>
      <xdr:spPr>
        <a:xfrm>
          <a:off x="13759815" y="2396490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(10)</a:t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0</xdr:col>
      <xdr:colOff>502920</xdr:colOff>
      <xdr:row>41</xdr:row>
      <xdr:rowOff>13335</xdr:rowOff>
    </xdr:to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E656085D-EA4F-4277-99F8-5F1EB9D74A7A}"/>
            </a:ext>
          </a:extLst>
        </xdr:cNvPr>
        <xdr:cNvSpPr txBox="1"/>
      </xdr:nvSpPr>
      <xdr:spPr>
        <a:xfrm>
          <a:off x="0" y="6968490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(11)</a:t>
          </a:r>
        </a:p>
      </xdr:txBody>
    </xdr:sp>
    <xdr:clientData/>
  </xdr:twoCellAnchor>
  <xdr:twoCellAnchor>
    <xdr:from>
      <xdr:col>17</xdr:col>
      <xdr:colOff>323850</xdr:colOff>
      <xdr:row>38</xdr:row>
      <xdr:rowOff>36195</xdr:rowOff>
    </xdr:from>
    <xdr:to>
      <xdr:col>18</xdr:col>
      <xdr:colOff>34290</xdr:colOff>
      <xdr:row>41</xdr:row>
      <xdr:rowOff>30480</xdr:rowOff>
    </xdr:to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id="{9F691A90-80A6-4F87-AABE-84B2C7568C56}"/>
            </a:ext>
          </a:extLst>
        </xdr:cNvPr>
        <xdr:cNvSpPr txBox="1"/>
      </xdr:nvSpPr>
      <xdr:spPr>
        <a:xfrm>
          <a:off x="13796010" y="6985635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(12)</a:t>
          </a:r>
        </a:p>
      </xdr:txBody>
    </xdr:sp>
    <xdr:clientData/>
  </xdr:twoCellAnchor>
  <xdr:twoCellAnchor>
    <xdr:from>
      <xdr:col>0</xdr:col>
      <xdr:colOff>0</xdr:colOff>
      <xdr:row>72</xdr:row>
      <xdr:rowOff>161925</xdr:rowOff>
    </xdr:from>
    <xdr:to>
      <xdr:col>0</xdr:col>
      <xdr:colOff>502920</xdr:colOff>
      <xdr:row>75</xdr:row>
      <xdr:rowOff>156210</xdr:rowOff>
    </xdr:to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61574BF2-09BA-42F2-B540-ACA05245218B}"/>
            </a:ext>
          </a:extLst>
        </xdr:cNvPr>
        <xdr:cNvSpPr txBox="1"/>
      </xdr:nvSpPr>
      <xdr:spPr>
        <a:xfrm>
          <a:off x="0" y="13329285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(13)</a:t>
          </a:r>
        </a:p>
      </xdr:txBody>
    </xdr:sp>
    <xdr:clientData/>
  </xdr:twoCellAnchor>
  <xdr:twoCellAnchor>
    <xdr:from>
      <xdr:col>17</xdr:col>
      <xdr:colOff>323850</xdr:colOff>
      <xdr:row>72</xdr:row>
      <xdr:rowOff>154305</xdr:rowOff>
    </xdr:from>
    <xdr:to>
      <xdr:col>18</xdr:col>
      <xdr:colOff>34290</xdr:colOff>
      <xdr:row>75</xdr:row>
      <xdr:rowOff>148590</xdr:rowOff>
    </xdr:to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2473D893-214C-49D9-98ED-DF4D09F0AEA6}"/>
            </a:ext>
          </a:extLst>
        </xdr:cNvPr>
        <xdr:cNvSpPr txBox="1"/>
      </xdr:nvSpPr>
      <xdr:spPr>
        <a:xfrm>
          <a:off x="13796010" y="13321665"/>
          <a:ext cx="50292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(14)</a:t>
          </a:r>
        </a:p>
      </xdr:txBody>
    </xdr:sp>
    <xdr:clientData/>
  </xdr:twoCellAnchor>
  <xdr:twoCellAnchor editAs="oneCell">
    <xdr:from>
      <xdr:col>7</xdr:col>
      <xdr:colOff>662940</xdr:colOff>
      <xdr:row>21</xdr:row>
      <xdr:rowOff>7620</xdr:rowOff>
    </xdr:from>
    <xdr:to>
      <xdr:col>10</xdr:col>
      <xdr:colOff>114300</xdr:colOff>
      <xdr:row>35</xdr:row>
      <xdr:rowOff>137160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AAND">
              <a:extLst>
                <a:ext uri="{FF2B5EF4-FFF2-40B4-BE49-F238E27FC236}">
                  <a16:creationId xmlns:a16="http://schemas.microsoft.com/office/drawing/2014/main" id="{FA5E22C5-9964-C98A-1922-C9275C0524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AN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10300" y="3848100"/>
              <a:ext cx="1828800" cy="26898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7</xdr:col>
      <xdr:colOff>662940</xdr:colOff>
      <xdr:row>14</xdr:row>
      <xdr:rowOff>15240</xdr:rowOff>
    </xdr:from>
    <xdr:to>
      <xdr:col>10</xdr:col>
      <xdr:colOff>114300</xdr:colOff>
      <xdr:row>21</xdr:row>
      <xdr:rowOff>22859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JAAR">
              <a:extLst>
                <a:ext uri="{FF2B5EF4-FFF2-40B4-BE49-F238E27FC236}">
                  <a16:creationId xmlns:a16="http://schemas.microsoft.com/office/drawing/2014/main" id="{CAA43997-09BB-450B-E60B-1F2B048C1E65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AA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10300" y="2575560"/>
              <a:ext cx="1828800" cy="1287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0</xdr:col>
      <xdr:colOff>60960</xdr:colOff>
      <xdr:row>65</xdr:row>
      <xdr:rowOff>114300</xdr:rowOff>
    </xdr:from>
    <xdr:to>
      <xdr:col>17</xdr:col>
      <xdr:colOff>762000</xdr:colOff>
      <xdr:row>71</xdr:row>
      <xdr:rowOff>129540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13" name="Mannd/Jaar ">
              <a:extLst>
                <a:ext uri="{FF2B5EF4-FFF2-40B4-BE49-F238E27FC236}">
                  <a16:creationId xmlns:a16="http://schemas.microsoft.com/office/drawing/2014/main" id="{21AD214E-1E77-25AD-7AB8-6A27E678BD3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Mannd/Jaar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60" y="12001500"/>
              <a:ext cx="14173200" cy="11125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Chronologie : fonctionne dans Excel 2013 ou version ultérieure. Ne pas déplacer ou redimensionner.</a:t>
              </a:r>
            </a:p>
          </xdr:txBody>
        </xdr:sp>
      </mc:Fallback>
    </mc:AlternateContent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281944</xdr:colOff>
      <xdr:row>7</xdr:row>
      <xdr:rowOff>121920</xdr:rowOff>
    </xdr:from>
    <xdr:to>
      <xdr:col>2</xdr:col>
      <xdr:colOff>373384</xdr:colOff>
      <xdr:row>11</xdr:row>
      <xdr:rowOff>0</xdr:rowOff>
    </xdr:to>
    <xdr:grpSp>
      <xdr:nvGrpSpPr>
        <xdr:cNvPr id="31" name="Groupe 30">
          <a:extLst>
            <a:ext uri="{FF2B5EF4-FFF2-40B4-BE49-F238E27FC236}">
              <a16:creationId xmlns:a16="http://schemas.microsoft.com/office/drawing/2014/main" id="{6B151246-27B6-4BD0-A87B-DBA7BC04C6E7}"/>
            </a:ext>
          </a:extLst>
        </xdr:cNvPr>
        <xdr:cNvGrpSpPr/>
      </xdr:nvGrpSpPr>
      <xdr:grpSpPr>
        <a:xfrm>
          <a:off x="281944" y="1455420"/>
          <a:ext cx="3763857" cy="640080"/>
          <a:chOff x="289560" y="3048000"/>
          <a:chExt cx="3863340" cy="609600"/>
        </a:xfrm>
      </xdr:grpSpPr>
      <xdr:sp macro="" textlink="">
        <xdr:nvSpPr>
          <xdr:cNvPr id="32" name="Rectangle : coins arrondis 31">
            <a:extLst>
              <a:ext uri="{FF2B5EF4-FFF2-40B4-BE49-F238E27FC236}">
                <a16:creationId xmlns:a16="http://schemas.microsoft.com/office/drawing/2014/main" id="{694FADEE-45ED-0DB8-1EA0-2AEA84C49B02}"/>
              </a:ext>
            </a:extLst>
          </xdr:cNvPr>
          <xdr:cNvSpPr/>
        </xdr:nvSpPr>
        <xdr:spPr>
          <a:xfrm>
            <a:off x="367064" y="3107871"/>
            <a:ext cx="3785836" cy="471352"/>
          </a:xfrm>
          <a:prstGeom prst="roundRect">
            <a:avLst/>
          </a:prstGeom>
          <a:solidFill>
            <a:schemeClr val="accent1"/>
          </a:solidFill>
          <a:ln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100" b="1" baseline="0"/>
              <a:t>WATERVERBRUIK</a:t>
            </a:r>
            <a:endParaRPr lang="fr-FR" sz="1100" b="1"/>
          </a:p>
        </xdr:txBody>
      </xdr:sp>
      <xdr:grpSp>
        <xdr:nvGrpSpPr>
          <xdr:cNvPr id="33" name="Groupe 32">
            <a:extLst>
              <a:ext uri="{FF2B5EF4-FFF2-40B4-BE49-F238E27FC236}">
                <a16:creationId xmlns:a16="http://schemas.microsoft.com/office/drawing/2014/main" id="{F77407E2-8B9E-2160-5271-F8DA47BC39C5}"/>
              </a:ext>
            </a:extLst>
          </xdr:cNvPr>
          <xdr:cNvGrpSpPr/>
        </xdr:nvGrpSpPr>
        <xdr:grpSpPr>
          <a:xfrm>
            <a:off x="289560" y="3048000"/>
            <a:ext cx="696685" cy="609600"/>
            <a:chOff x="620497" y="805544"/>
            <a:chExt cx="696685" cy="609600"/>
          </a:xfrm>
        </xdr:grpSpPr>
        <xdr:sp macro="" textlink="">
          <xdr:nvSpPr>
            <xdr:cNvPr id="34" name="Organigramme : Préparation 33">
              <a:extLst>
                <a:ext uri="{FF2B5EF4-FFF2-40B4-BE49-F238E27FC236}">
                  <a16:creationId xmlns:a16="http://schemas.microsoft.com/office/drawing/2014/main" id="{001A28FC-B319-ACC3-45C3-D90133F390D7}"/>
                </a:ext>
              </a:extLst>
            </xdr:cNvPr>
            <xdr:cNvSpPr/>
          </xdr:nvSpPr>
          <xdr:spPr>
            <a:xfrm>
              <a:off x="620497" y="805544"/>
              <a:ext cx="696685" cy="609600"/>
            </a:xfrm>
            <a:prstGeom prst="flowChartPreparation">
              <a:avLst/>
            </a:prstGeom>
            <a:solidFill>
              <a:schemeClr val="bg1"/>
            </a:solidFill>
            <a:ln w="28575">
              <a:solidFill>
                <a:schemeClr val="accent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35" name="Graphique 34" descr="Eau avec un remplissage uni">
              <a:extLst>
                <a:ext uri="{FF2B5EF4-FFF2-40B4-BE49-F238E27FC236}">
                  <a16:creationId xmlns:a16="http://schemas.microsoft.com/office/drawing/2014/main" id="{039FBE71-3A6A-1F67-C0FF-2FFAC3BFD10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729343" y="870857"/>
              <a:ext cx="457199" cy="457199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5</xdr:col>
      <xdr:colOff>236224</xdr:colOff>
      <xdr:row>8</xdr:row>
      <xdr:rowOff>0</xdr:rowOff>
    </xdr:from>
    <xdr:to>
      <xdr:col>6</xdr:col>
      <xdr:colOff>1911322</xdr:colOff>
      <xdr:row>10</xdr:row>
      <xdr:rowOff>105592</xdr:rowOff>
    </xdr:to>
    <xdr:sp macro="" textlink="">
      <xdr:nvSpPr>
        <xdr:cNvPr id="36" name="Rectangle : coins arrondis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14039E-71A8-4007-869A-4B62E92DBA04}"/>
            </a:ext>
          </a:extLst>
        </xdr:cNvPr>
        <xdr:cNvSpPr/>
      </xdr:nvSpPr>
      <xdr:spPr>
        <a:xfrm>
          <a:off x="10340344" y="1463040"/>
          <a:ext cx="3785838" cy="471352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ELEKTRICITEITVERBRUIK</a:t>
          </a:r>
        </a:p>
      </xdr:txBody>
    </xdr:sp>
    <xdr:clientData/>
  </xdr:twoCellAnchor>
  <xdr:twoCellAnchor>
    <xdr:from>
      <xdr:col>21</xdr:col>
      <xdr:colOff>1872727</xdr:colOff>
      <xdr:row>5</xdr:row>
      <xdr:rowOff>94577</xdr:rowOff>
    </xdr:from>
    <xdr:to>
      <xdr:col>22</xdr:col>
      <xdr:colOff>1849867</xdr:colOff>
      <xdr:row>12</xdr:row>
      <xdr:rowOff>80682</xdr:rowOff>
    </xdr:to>
    <xdr:grpSp>
      <xdr:nvGrpSpPr>
        <xdr:cNvPr id="5" name="Group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C5DEBF-66F9-486C-90E1-FD0697935BC5}"/>
            </a:ext>
          </a:extLst>
        </xdr:cNvPr>
        <xdr:cNvGrpSpPr/>
      </xdr:nvGrpSpPr>
      <xdr:grpSpPr>
        <a:xfrm>
          <a:off x="44555310" y="1047077"/>
          <a:ext cx="2030307" cy="1319605"/>
          <a:chOff x="46024800" y="1188720"/>
          <a:chExt cx="2087880" cy="1265986"/>
        </a:xfrm>
      </xdr:grpSpPr>
      <xdr:sp macro="" textlink="">
        <xdr:nvSpPr>
          <xdr:cNvPr id="6" name="ZoneTexte 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4CD50B1-C5B7-B976-C545-138069439D7D}"/>
              </a:ext>
            </a:extLst>
          </xdr:cNvPr>
          <xdr:cNvSpPr txBox="1"/>
        </xdr:nvSpPr>
        <xdr:spPr>
          <a:xfrm>
            <a:off x="46024800" y="1562100"/>
            <a:ext cx="2087880" cy="892606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100" b="1" baseline="0">
                <a:solidFill>
                  <a:schemeClr val="tx1"/>
                </a:solidFill>
              </a:rPr>
              <a:t>Klik hier om te worden doorverwezen om een schatting van de verbruikskosten in te voeren</a:t>
            </a:r>
            <a:endParaRPr lang="fr-FR" sz="1100" baseline="0"/>
          </a:p>
        </xdr:txBody>
      </xdr:sp>
      <xdr:pic>
        <xdr:nvPicPr>
          <xdr:cNvPr id="7" name="Graphique 6" descr="Avertissement avec un remplissage uni">
            <a:extLst>
              <a:ext uri="{FF2B5EF4-FFF2-40B4-BE49-F238E27FC236}">
                <a16:creationId xmlns:a16="http://schemas.microsoft.com/office/drawing/2014/main" id="{ECCFA87B-204C-4715-6681-DD4DF0DB95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46893480" y="1188720"/>
            <a:ext cx="342900" cy="3429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586740</xdr:colOff>
      <xdr:row>4</xdr:row>
      <xdr:rowOff>82731</xdr:rowOff>
    </xdr:from>
    <xdr:to>
      <xdr:col>4</xdr:col>
      <xdr:colOff>1920240</xdr:colOff>
      <xdr:row>6</xdr:row>
      <xdr:rowOff>106680</xdr:rowOff>
    </xdr:to>
    <xdr:sp macro="" textlink="">
      <xdr:nvSpPr>
        <xdr:cNvPr id="9" name="Rectangle : coins arrondis 8">
          <a:extLst>
            <a:ext uri="{FF2B5EF4-FFF2-40B4-BE49-F238E27FC236}">
              <a16:creationId xmlns:a16="http://schemas.microsoft.com/office/drawing/2014/main" id="{66945B0C-9E0D-437A-BB37-398B5D54FF6B}"/>
            </a:ext>
          </a:extLst>
        </xdr:cNvPr>
        <xdr:cNvSpPr/>
      </xdr:nvSpPr>
      <xdr:spPr>
        <a:xfrm>
          <a:off x="4358640" y="81425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 baseline="0">
              <a:solidFill>
                <a:schemeClr val="bg1">
                  <a:lumMod val="50000"/>
                </a:schemeClr>
              </a:solidFill>
            </a:rPr>
            <a:t>VERBRUIKDATABASE</a:t>
          </a:r>
          <a:endParaRPr lang="fr-FR" sz="1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1567543</xdr:colOff>
      <xdr:row>7</xdr:row>
      <xdr:rowOff>181791</xdr:rowOff>
    </xdr:from>
    <xdr:to>
      <xdr:col>4</xdr:col>
      <xdr:colOff>1131901</xdr:colOff>
      <xdr:row>10</xdr:row>
      <xdr:rowOff>104503</xdr:rowOff>
    </xdr:to>
    <xdr:sp macro="" textlink="">
      <xdr:nvSpPr>
        <xdr:cNvPr id="10" name="Rectangle : coins arrondi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0250003-1E5C-4B5C-BA0B-12FFCB0253AE}"/>
            </a:ext>
          </a:extLst>
        </xdr:cNvPr>
        <xdr:cNvSpPr/>
      </xdr:nvSpPr>
      <xdr:spPr>
        <a:xfrm>
          <a:off x="5339443" y="1461951"/>
          <a:ext cx="3785838" cy="471352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GASVERBRUIK</a:t>
          </a:r>
        </a:p>
      </xdr:txBody>
    </xdr:sp>
    <xdr:clientData/>
  </xdr:twoCellAnchor>
  <xdr:twoCellAnchor editAs="oneCell">
    <xdr:from>
      <xdr:col>0</xdr:col>
      <xdr:colOff>243840</xdr:colOff>
      <xdr:row>0</xdr:row>
      <xdr:rowOff>146376</xdr:rowOff>
    </xdr:from>
    <xdr:to>
      <xdr:col>1</xdr:col>
      <xdr:colOff>116114</xdr:colOff>
      <xdr:row>3</xdr:row>
      <xdr:rowOff>1755</xdr:rowOff>
    </xdr:to>
    <xdr:pic>
      <xdr:nvPicPr>
        <xdr:cNvPr id="11" name="Image 10" descr="Afficher l’image source">
          <a:extLst>
            <a:ext uri="{FF2B5EF4-FFF2-40B4-BE49-F238E27FC236}">
              <a16:creationId xmlns:a16="http://schemas.microsoft.com/office/drawing/2014/main" id="{86D13AD3-36F6-433B-97B2-0ED865F424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2432" r="3758" b="14364"/>
        <a:stretch/>
      </xdr:blipFill>
      <xdr:spPr bwMode="auto">
        <a:xfrm>
          <a:off x="243840" y="146376"/>
          <a:ext cx="1190534" cy="400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1510926</xdr:colOff>
      <xdr:row>0</xdr:row>
      <xdr:rowOff>0</xdr:rowOff>
    </xdr:from>
    <xdr:to>
      <xdr:col>6</xdr:col>
      <xdr:colOff>1930922</xdr:colOff>
      <xdr:row>3</xdr:row>
      <xdr:rowOff>141642</xdr:rowOff>
    </xdr:to>
    <xdr:grpSp>
      <xdr:nvGrpSpPr>
        <xdr:cNvPr id="12" name="Groupe 11">
          <a:extLst>
            <a:ext uri="{FF2B5EF4-FFF2-40B4-BE49-F238E27FC236}">
              <a16:creationId xmlns:a16="http://schemas.microsoft.com/office/drawing/2014/main" id="{D633140B-4FF6-436B-8BFD-304237A87B34}"/>
            </a:ext>
          </a:extLst>
        </xdr:cNvPr>
        <xdr:cNvGrpSpPr/>
      </xdr:nvGrpSpPr>
      <xdr:grpSpPr>
        <a:xfrm>
          <a:off x="11342843" y="0"/>
          <a:ext cx="2473162" cy="713142"/>
          <a:chOff x="13193649" y="0"/>
          <a:chExt cx="2530736" cy="690282"/>
        </a:xfrm>
      </xdr:grpSpPr>
      <xdr:pic>
        <xdr:nvPicPr>
          <xdr:cNvPr id="13" name="Image 12">
            <a:extLst>
              <a:ext uri="{FF2B5EF4-FFF2-40B4-BE49-F238E27FC236}">
                <a16:creationId xmlns:a16="http://schemas.microsoft.com/office/drawing/2014/main" id="{0DBE17BA-3785-02D3-1A3B-DCCCCD75C5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395164" y="0"/>
            <a:ext cx="1329221" cy="690282"/>
          </a:xfrm>
          <a:prstGeom prst="rect">
            <a:avLst/>
          </a:prstGeom>
        </xdr:spPr>
      </xdr:pic>
      <xdr:pic>
        <xdr:nvPicPr>
          <xdr:cNvPr id="14" name="Image 13">
            <a:extLst>
              <a:ext uri="{FF2B5EF4-FFF2-40B4-BE49-F238E27FC236}">
                <a16:creationId xmlns:a16="http://schemas.microsoft.com/office/drawing/2014/main" id="{3B2D4D9E-F47C-242C-A270-D66302AF9F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93649" y="69317"/>
            <a:ext cx="1176530" cy="58521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1272540</xdr:colOff>
      <xdr:row>4</xdr:row>
      <xdr:rowOff>44631</xdr:rowOff>
    </xdr:from>
    <xdr:to>
      <xdr:col>6</xdr:col>
      <xdr:colOff>1485900</xdr:colOff>
      <xdr:row>5</xdr:row>
      <xdr:rowOff>106680</xdr:rowOff>
    </xdr:to>
    <xdr:sp macro="" textlink="">
      <xdr:nvSpPr>
        <xdr:cNvPr id="16" name="Rectangle : coins arrondis 15">
          <a:extLst>
            <a:ext uri="{FF2B5EF4-FFF2-40B4-BE49-F238E27FC236}">
              <a16:creationId xmlns:a16="http://schemas.microsoft.com/office/drawing/2014/main" id="{C90F63A9-F94A-45EC-913F-85F57B1881FF}"/>
            </a:ext>
          </a:extLst>
        </xdr:cNvPr>
        <xdr:cNvSpPr/>
      </xdr:nvSpPr>
      <xdr:spPr>
        <a:xfrm>
          <a:off x="11376660" y="776151"/>
          <a:ext cx="2324100" cy="24492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500" b="1" baseline="0">
              <a:solidFill>
                <a:schemeClr val="bg1">
                  <a:lumMod val="50000"/>
                </a:schemeClr>
              </a:solidFill>
            </a:rPr>
            <a:t>Verbruikdashboard </a:t>
          </a:r>
          <a:endParaRPr lang="fr-FR" sz="15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6</xdr:col>
      <xdr:colOff>1129160</xdr:colOff>
      <xdr:row>4</xdr:row>
      <xdr:rowOff>146247</xdr:rowOff>
    </xdr:from>
    <xdr:to>
      <xdr:col>6</xdr:col>
      <xdr:colOff>1505916</xdr:colOff>
      <xdr:row>6</xdr:row>
      <xdr:rowOff>157243</xdr:rowOff>
    </xdr:to>
    <xdr:pic>
      <xdr:nvPicPr>
        <xdr:cNvPr id="17" name="Graphique 16" descr="Flèche : incurvée dans le sens des aiguilles d’une montre avec un remplissage uni">
          <a:extLst>
            <a:ext uri="{FF2B5EF4-FFF2-40B4-BE49-F238E27FC236}">
              <a16:creationId xmlns:a16="http://schemas.microsoft.com/office/drawing/2014/main" id="{687D760C-F05B-498C-A66F-97FB1AC5A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 rot="7685067">
          <a:off x="13344020" y="877767"/>
          <a:ext cx="376756" cy="376756"/>
        </a:xfrm>
        <a:prstGeom prst="rect">
          <a:avLst/>
        </a:prstGeom>
      </xdr:spPr>
    </xdr:pic>
    <xdr:clientData/>
  </xdr:twoCellAnchor>
  <xdr:twoCellAnchor editAs="oneCell">
    <xdr:from>
      <xdr:col>6</xdr:col>
      <xdr:colOff>1516379</xdr:colOff>
      <xdr:row>4</xdr:row>
      <xdr:rowOff>7620</xdr:rowOff>
    </xdr:from>
    <xdr:to>
      <xdr:col>6</xdr:col>
      <xdr:colOff>1910674</xdr:colOff>
      <xdr:row>6</xdr:row>
      <xdr:rowOff>129540</xdr:rowOff>
    </xdr:to>
    <xdr:pic>
      <xdr:nvPicPr>
        <xdr:cNvPr id="24" name="Graphique 23" descr="Statistiques avec un remplissage uni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B5F9E8FE-1620-4700-8502-F1CAB5FDCB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rcRect l="23333" r="13333" b="21667"/>
        <a:stretch/>
      </xdr:blipFill>
      <xdr:spPr>
        <a:xfrm>
          <a:off x="13731239" y="739140"/>
          <a:ext cx="394295" cy="487680"/>
        </a:xfrm>
        <a:prstGeom prst="rect">
          <a:avLst/>
        </a:prstGeom>
      </xdr:spPr>
    </xdr:pic>
    <xdr:clientData/>
  </xdr:twoCellAnchor>
  <xdr:twoCellAnchor>
    <xdr:from>
      <xdr:col>46</xdr:col>
      <xdr:colOff>286870</xdr:colOff>
      <xdr:row>7</xdr:row>
      <xdr:rowOff>80682</xdr:rowOff>
    </xdr:from>
    <xdr:to>
      <xdr:col>49</xdr:col>
      <xdr:colOff>579568</xdr:colOff>
      <xdr:row>19</xdr:row>
      <xdr:rowOff>170331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4B61815C-F4DB-4914-8DA3-F89F3FC23B06}"/>
            </a:ext>
          </a:extLst>
        </xdr:cNvPr>
        <xdr:cNvSpPr txBox="1"/>
      </xdr:nvSpPr>
      <xdr:spPr>
        <a:xfrm>
          <a:off x="48301835" y="1335741"/>
          <a:ext cx="2659380" cy="2241178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om verborgen cellen weer te geven</a:t>
          </a:r>
        </a:p>
        <a:p>
          <a:endParaRPr lang="fr-FR" sz="1100" b="1"/>
        </a:p>
        <a:p>
          <a:r>
            <a:rPr lang="fr-FR" sz="1100" b="1"/>
            <a:t>-selecteer de kolommen W tot AU </a:t>
          </a:r>
        </a:p>
        <a:p>
          <a:r>
            <a:rPr lang="fr-FR" sz="1100" b="1"/>
            <a:t>-rechts klikken </a:t>
          </a:r>
        </a:p>
        <a:p>
          <a:r>
            <a:rPr lang="fr-FR" sz="1100" b="1"/>
            <a:t>-display</a:t>
          </a:r>
        </a:p>
        <a:p>
          <a:endParaRPr lang="fr-FR" sz="1100" b="1"/>
        </a:p>
        <a:p>
          <a:r>
            <a:rPr lang="fr-FR" sz="1100" b="1"/>
            <a:t>verberg de cellen weer, dit beschermt de formules tegen verkeerd gebruik</a:t>
          </a:r>
        </a:p>
        <a:p>
          <a:endParaRPr lang="fr-FR" sz="1100" b="1"/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-selecteer de kolommen X tot AT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-rechts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klikken</a:t>
          </a:r>
        </a:p>
        <a:p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-verbergen</a:t>
          </a:r>
          <a:endParaRPr lang="fr-FR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1485900</xdr:colOff>
      <xdr:row>7</xdr:row>
      <xdr:rowOff>129540</xdr:rowOff>
    </xdr:from>
    <xdr:to>
      <xdr:col>4</xdr:col>
      <xdr:colOff>1130751</xdr:colOff>
      <xdr:row>10</xdr:row>
      <xdr:rowOff>168729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995729AA-D23B-4099-9598-41A6281D8883}"/>
            </a:ext>
          </a:extLst>
        </xdr:cNvPr>
        <xdr:cNvGrpSpPr/>
      </xdr:nvGrpSpPr>
      <xdr:grpSpPr>
        <a:xfrm>
          <a:off x="5153025" y="1463040"/>
          <a:ext cx="3740601" cy="610689"/>
          <a:chOff x="5250176" y="3436620"/>
          <a:chExt cx="3866331" cy="587829"/>
        </a:xfrm>
      </xdr:grpSpPr>
      <xdr:sp macro="" textlink="">
        <xdr:nvSpPr>
          <xdr:cNvPr id="27" name="Rectangle : coins arrondis 26">
            <a:extLst>
              <a:ext uri="{FF2B5EF4-FFF2-40B4-BE49-F238E27FC236}">
                <a16:creationId xmlns:a16="http://schemas.microsoft.com/office/drawing/2014/main" id="{4F5E6AF8-7638-2927-5023-D352035E24B2}"/>
              </a:ext>
            </a:extLst>
          </xdr:cNvPr>
          <xdr:cNvSpPr/>
        </xdr:nvSpPr>
        <xdr:spPr>
          <a:xfrm>
            <a:off x="5326380" y="3497580"/>
            <a:ext cx="3790127" cy="454518"/>
          </a:xfrm>
          <a:prstGeom prst="roundRect">
            <a:avLst/>
          </a:prstGeom>
          <a:solidFill>
            <a:schemeClr val="accent2"/>
          </a:solidFill>
          <a:ln>
            <a:solidFill>
              <a:schemeClr val="accent2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100" b="1"/>
              <a:t>GASVERBRUIK</a:t>
            </a:r>
          </a:p>
        </xdr:txBody>
      </xdr:sp>
      <xdr:grpSp>
        <xdr:nvGrpSpPr>
          <xdr:cNvPr id="28" name="Groupe 27">
            <a:extLst>
              <a:ext uri="{FF2B5EF4-FFF2-40B4-BE49-F238E27FC236}">
                <a16:creationId xmlns:a16="http://schemas.microsoft.com/office/drawing/2014/main" id="{BEF1B0F1-279D-1EE6-F50C-738949306E20}"/>
              </a:ext>
            </a:extLst>
          </xdr:cNvPr>
          <xdr:cNvGrpSpPr/>
        </xdr:nvGrpSpPr>
        <xdr:grpSpPr>
          <a:xfrm>
            <a:off x="5250176" y="3436620"/>
            <a:ext cx="690922" cy="587829"/>
            <a:chOff x="5573490" y="805544"/>
            <a:chExt cx="696685" cy="609600"/>
          </a:xfrm>
        </xdr:grpSpPr>
        <xdr:sp macro="" textlink="">
          <xdr:nvSpPr>
            <xdr:cNvPr id="29" name="Organigramme : Préparation 28">
              <a:extLst>
                <a:ext uri="{FF2B5EF4-FFF2-40B4-BE49-F238E27FC236}">
                  <a16:creationId xmlns:a16="http://schemas.microsoft.com/office/drawing/2014/main" id="{30CF0E89-DB3E-9655-A838-22AB57F30434}"/>
                </a:ext>
              </a:extLst>
            </xdr:cNvPr>
            <xdr:cNvSpPr/>
          </xdr:nvSpPr>
          <xdr:spPr>
            <a:xfrm>
              <a:off x="5573490" y="805544"/>
              <a:ext cx="696685" cy="609600"/>
            </a:xfrm>
            <a:prstGeom prst="flowChartPreparation">
              <a:avLst/>
            </a:prstGeom>
            <a:solidFill>
              <a:schemeClr val="bg1"/>
            </a:solidFill>
            <a:ln w="28575">
              <a:solidFill>
                <a:schemeClr val="accent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30" name="Graphique 29" descr="Feu avec un remplissage uni">
              <a:extLst>
                <a:ext uri="{FF2B5EF4-FFF2-40B4-BE49-F238E27FC236}">
                  <a16:creationId xmlns:a16="http://schemas.microsoft.com/office/drawing/2014/main" id="{7D614242-88A0-48A6-6871-D9F57EE80A0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5682343" y="859971"/>
              <a:ext cx="468085" cy="468085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5</xdr:col>
      <xdr:colOff>236224</xdr:colOff>
      <xdr:row>8</xdr:row>
      <xdr:rowOff>7620</xdr:rowOff>
    </xdr:from>
    <xdr:to>
      <xdr:col>6</xdr:col>
      <xdr:colOff>1911322</xdr:colOff>
      <xdr:row>10</xdr:row>
      <xdr:rowOff>113212</xdr:rowOff>
    </xdr:to>
    <xdr:sp macro="" textlink="">
      <xdr:nvSpPr>
        <xdr:cNvPr id="36" name="Rectangle : coins arrondis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2DBB85-FE30-4F82-958A-3840E8615C31}"/>
            </a:ext>
          </a:extLst>
        </xdr:cNvPr>
        <xdr:cNvSpPr/>
      </xdr:nvSpPr>
      <xdr:spPr>
        <a:xfrm>
          <a:off x="10340344" y="1470660"/>
          <a:ext cx="3785838" cy="471352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ELEKTRICITEITVERBRUIK</a:t>
          </a:r>
        </a:p>
      </xdr:txBody>
    </xdr:sp>
    <xdr:clientData/>
  </xdr:twoCellAnchor>
  <xdr:twoCellAnchor>
    <xdr:from>
      <xdr:col>21</xdr:col>
      <xdr:colOff>1943100</xdr:colOff>
      <xdr:row>5</xdr:row>
      <xdr:rowOff>167640</xdr:rowOff>
    </xdr:from>
    <xdr:to>
      <xdr:col>22</xdr:col>
      <xdr:colOff>1920240</xdr:colOff>
      <xdr:row>12</xdr:row>
      <xdr:rowOff>83820</xdr:rowOff>
    </xdr:to>
    <xdr:grpSp>
      <xdr:nvGrpSpPr>
        <xdr:cNvPr id="5" name="Group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1CE42D7-F40C-4AAE-B259-F24F594D35AB}"/>
            </a:ext>
          </a:extLst>
        </xdr:cNvPr>
        <xdr:cNvGrpSpPr/>
      </xdr:nvGrpSpPr>
      <xdr:grpSpPr>
        <a:xfrm>
          <a:off x="44519850" y="1120140"/>
          <a:ext cx="2025015" cy="1249680"/>
          <a:chOff x="46024800" y="1188720"/>
          <a:chExt cx="2087880" cy="1196340"/>
        </a:xfrm>
      </xdr:grpSpPr>
      <xdr:sp macro="" textlink="">
        <xdr:nvSpPr>
          <xdr:cNvPr id="6" name="ZoneTexte 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6ACB8F8-C769-FB62-26F3-B684AACCE390}"/>
              </a:ext>
            </a:extLst>
          </xdr:cNvPr>
          <xdr:cNvSpPr txBox="1"/>
        </xdr:nvSpPr>
        <xdr:spPr>
          <a:xfrm>
            <a:off x="46024800" y="1562100"/>
            <a:ext cx="2087880" cy="822960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100" b="1" baseline="0">
                <a:solidFill>
                  <a:schemeClr val="tx1"/>
                </a:solidFill>
              </a:rPr>
              <a:t>Klik hier om te worden doorverwezen om een schatting van de verbruikskosten in te voeren</a:t>
            </a:r>
            <a:endParaRPr lang="fr-FR" sz="1100" baseline="0"/>
          </a:p>
        </xdr:txBody>
      </xdr:sp>
      <xdr:pic>
        <xdr:nvPicPr>
          <xdr:cNvPr id="7" name="Graphique 6" descr="Avertissement avec un remplissage uni">
            <a:extLst>
              <a:ext uri="{FF2B5EF4-FFF2-40B4-BE49-F238E27FC236}">
                <a16:creationId xmlns:a16="http://schemas.microsoft.com/office/drawing/2014/main" id="{C1239A6C-F6A1-D161-CD8C-DFB58551C1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46893480" y="1188720"/>
            <a:ext cx="342900" cy="3429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365760</xdr:colOff>
      <xdr:row>8</xdr:row>
      <xdr:rowOff>0</xdr:rowOff>
    </xdr:from>
    <xdr:to>
      <xdr:col>2</xdr:col>
      <xdr:colOff>389345</xdr:colOff>
      <xdr:row>10</xdr:row>
      <xdr:rowOff>106681</xdr:rowOff>
    </xdr:to>
    <xdr:sp macro="" textlink="">
      <xdr:nvSpPr>
        <xdr:cNvPr id="8" name="Rectangle : coins arrondis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21A6AA9-BF98-45F8-88EA-378C7E8DB3EE}"/>
            </a:ext>
          </a:extLst>
        </xdr:cNvPr>
        <xdr:cNvSpPr/>
      </xdr:nvSpPr>
      <xdr:spPr>
        <a:xfrm>
          <a:off x="365760" y="1463040"/>
          <a:ext cx="3795485" cy="472441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 baseline="0"/>
            <a:t>WATERVERBRUIK</a:t>
          </a:r>
          <a:endParaRPr lang="fr-FR" sz="1100" b="1"/>
        </a:p>
      </xdr:txBody>
    </xdr:sp>
    <xdr:clientData/>
  </xdr:twoCellAnchor>
  <xdr:twoCellAnchor>
    <xdr:from>
      <xdr:col>2</xdr:col>
      <xdr:colOff>586740</xdr:colOff>
      <xdr:row>4</xdr:row>
      <xdr:rowOff>82731</xdr:rowOff>
    </xdr:from>
    <xdr:to>
      <xdr:col>4</xdr:col>
      <xdr:colOff>1920240</xdr:colOff>
      <xdr:row>6</xdr:row>
      <xdr:rowOff>106680</xdr:rowOff>
    </xdr:to>
    <xdr:sp macro="" textlink="">
      <xdr:nvSpPr>
        <xdr:cNvPr id="9" name="Rectangle : coins arrondis 8">
          <a:extLst>
            <a:ext uri="{FF2B5EF4-FFF2-40B4-BE49-F238E27FC236}">
              <a16:creationId xmlns:a16="http://schemas.microsoft.com/office/drawing/2014/main" id="{9870892D-5078-4A48-9B40-CF885EFC4DAC}"/>
            </a:ext>
          </a:extLst>
        </xdr:cNvPr>
        <xdr:cNvSpPr/>
      </xdr:nvSpPr>
      <xdr:spPr>
        <a:xfrm>
          <a:off x="4358640" y="81425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 baseline="0">
              <a:solidFill>
                <a:schemeClr val="bg1">
                  <a:lumMod val="50000"/>
                </a:schemeClr>
              </a:solidFill>
            </a:rPr>
            <a:t>VERBRUIKDATABASE</a:t>
          </a:r>
          <a:endParaRPr lang="fr-FR" sz="1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243840</xdr:colOff>
      <xdr:row>0</xdr:row>
      <xdr:rowOff>146376</xdr:rowOff>
    </xdr:from>
    <xdr:to>
      <xdr:col>1</xdr:col>
      <xdr:colOff>116114</xdr:colOff>
      <xdr:row>3</xdr:row>
      <xdr:rowOff>1755</xdr:rowOff>
    </xdr:to>
    <xdr:pic>
      <xdr:nvPicPr>
        <xdr:cNvPr id="11" name="Image 10" descr="Afficher l’image source">
          <a:extLst>
            <a:ext uri="{FF2B5EF4-FFF2-40B4-BE49-F238E27FC236}">
              <a16:creationId xmlns:a16="http://schemas.microsoft.com/office/drawing/2014/main" id="{1150734A-1C04-4A61-9403-BDB7CAF11D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2432" r="3758" b="14364"/>
        <a:stretch/>
      </xdr:blipFill>
      <xdr:spPr bwMode="auto">
        <a:xfrm>
          <a:off x="243840" y="146376"/>
          <a:ext cx="1190534" cy="400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1510926</xdr:colOff>
      <xdr:row>0</xdr:row>
      <xdr:rowOff>0</xdr:rowOff>
    </xdr:from>
    <xdr:to>
      <xdr:col>6</xdr:col>
      <xdr:colOff>1930922</xdr:colOff>
      <xdr:row>3</xdr:row>
      <xdr:rowOff>141642</xdr:rowOff>
    </xdr:to>
    <xdr:grpSp>
      <xdr:nvGrpSpPr>
        <xdr:cNvPr id="12" name="Groupe 11">
          <a:extLst>
            <a:ext uri="{FF2B5EF4-FFF2-40B4-BE49-F238E27FC236}">
              <a16:creationId xmlns:a16="http://schemas.microsoft.com/office/drawing/2014/main" id="{C37A347C-DCD6-4616-B974-54AFB6C16B57}"/>
            </a:ext>
          </a:extLst>
        </xdr:cNvPr>
        <xdr:cNvGrpSpPr/>
      </xdr:nvGrpSpPr>
      <xdr:grpSpPr>
        <a:xfrm>
          <a:off x="11321676" y="0"/>
          <a:ext cx="2467871" cy="713142"/>
          <a:chOff x="13193649" y="0"/>
          <a:chExt cx="2530736" cy="690282"/>
        </a:xfrm>
      </xdr:grpSpPr>
      <xdr:pic>
        <xdr:nvPicPr>
          <xdr:cNvPr id="13" name="Image 12">
            <a:extLst>
              <a:ext uri="{FF2B5EF4-FFF2-40B4-BE49-F238E27FC236}">
                <a16:creationId xmlns:a16="http://schemas.microsoft.com/office/drawing/2014/main" id="{E5F239B6-A0EB-5F77-3E2E-976378BC95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395164" y="0"/>
            <a:ext cx="1329221" cy="690282"/>
          </a:xfrm>
          <a:prstGeom prst="rect">
            <a:avLst/>
          </a:prstGeom>
        </xdr:spPr>
      </xdr:pic>
      <xdr:pic>
        <xdr:nvPicPr>
          <xdr:cNvPr id="14" name="Image 13">
            <a:extLst>
              <a:ext uri="{FF2B5EF4-FFF2-40B4-BE49-F238E27FC236}">
                <a16:creationId xmlns:a16="http://schemas.microsoft.com/office/drawing/2014/main" id="{363C8AFE-F275-2483-2E1F-EE61CCD8A8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93649" y="69317"/>
            <a:ext cx="1176530" cy="58521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1272540</xdr:colOff>
      <xdr:row>4</xdr:row>
      <xdr:rowOff>44631</xdr:rowOff>
    </xdr:from>
    <xdr:to>
      <xdr:col>6</xdr:col>
      <xdr:colOff>1485900</xdr:colOff>
      <xdr:row>5</xdr:row>
      <xdr:rowOff>106680</xdr:rowOff>
    </xdr:to>
    <xdr:sp macro="" textlink="">
      <xdr:nvSpPr>
        <xdr:cNvPr id="16" name="Rectangle : coins arrondis 15">
          <a:extLst>
            <a:ext uri="{FF2B5EF4-FFF2-40B4-BE49-F238E27FC236}">
              <a16:creationId xmlns:a16="http://schemas.microsoft.com/office/drawing/2014/main" id="{2DED7545-9350-4641-8F72-8DE0A4CE36C1}"/>
            </a:ext>
          </a:extLst>
        </xdr:cNvPr>
        <xdr:cNvSpPr/>
      </xdr:nvSpPr>
      <xdr:spPr>
        <a:xfrm>
          <a:off x="11376660" y="776151"/>
          <a:ext cx="2324100" cy="24492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500" b="1" baseline="0">
              <a:solidFill>
                <a:schemeClr val="bg1">
                  <a:lumMod val="50000"/>
                </a:schemeClr>
              </a:solidFill>
            </a:rPr>
            <a:t>Verbruikdashboard</a:t>
          </a:r>
          <a:endParaRPr lang="fr-FR" sz="15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6</xdr:col>
      <xdr:colOff>1129160</xdr:colOff>
      <xdr:row>4</xdr:row>
      <xdr:rowOff>146247</xdr:rowOff>
    </xdr:from>
    <xdr:to>
      <xdr:col>6</xdr:col>
      <xdr:colOff>1505916</xdr:colOff>
      <xdr:row>6</xdr:row>
      <xdr:rowOff>157243</xdr:rowOff>
    </xdr:to>
    <xdr:pic>
      <xdr:nvPicPr>
        <xdr:cNvPr id="17" name="Graphique 16" descr="Flèche : incurvée dans le sens des aiguilles d’une montre avec un remplissage uni">
          <a:extLst>
            <a:ext uri="{FF2B5EF4-FFF2-40B4-BE49-F238E27FC236}">
              <a16:creationId xmlns:a16="http://schemas.microsoft.com/office/drawing/2014/main" id="{BC0E7C57-C89D-4D43-8422-04132B844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 rot="7685067">
          <a:off x="13344020" y="877767"/>
          <a:ext cx="376756" cy="376756"/>
        </a:xfrm>
        <a:prstGeom prst="rect">
          <a:avLst/>
        </a:prstGeom>
      </xdr:spPr>
    </xdr:pic>
    <xdr:clientData/>
  </xdr:twoCellAnchor>
  <xdr:twoCellAnchor editAs="oneCell">
    <xdr:from>
      <xdr:col>6</xdr:col>
      <xdr:colOff>1516379</xdr:colOff>
      <xdr:row>4</xdr:row>
      <xdr:rowOff>7620</xdr:rowOff>
    </xdr:from>
    <xdr:to>
      <xdr:col>6</xdr:col>
      <xdr:colOff>1910674</xdr:colOff>
      <xdr:row>6</xdr:row>
      <xdr:rowOff>129540</xdr:rowOff>
    </xdr:to>
    <xdr:pic>
      <xdr:nvPicPr>
        <xdr:cNvPr id="24" name="Graphique 23" descr="Statistiques avec un remplissage uni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95A6DE72-A778-46A7-843A-BBDD5968E6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rcRect l="23333" r="13333" b="21667"/>
        <a:stretch/>
      </xdr:blipFill>
      <xdr:spPr>
        <a:xfrm>
          <a:off x="13731239" y="739140"/>
          <a:ext cx="394295" cy="487680"/>
        </a:xfrm>
        <a:prstGeom prst="rect">
          <a:avLst/>
        </a:prstGeom>
      </xdr:spPr>
    </xdr:pic>
    <xdr:clientData/>
  </xdr:twoCellAnchor>
  <xdr:twoCellAnchor>
    <xdr:from>
      <xdr:col>46</xdr:col>
      <xdr:colOff>160020</xdr:colOff>
      <xdr:row>7</xdr:row>
      <xdr:rowOff>160020</xdr:rowOff>
    </xdr:from>
    <xdr:to>
      <xdr:col>49</xdr:col>
      <xdr:colOff>441960</xdr:colOff>
      <xdr:row>20</xdr:row>
      <xdr:rowOff>23758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C56BD4D2-3705-4429-9FCF-0A9F3089B000}"/>
            </a:ext>
          </a:extLst>
        </xdr:cNvPr>
        <xdr:cNvSpPr txBox="1"/>
      </xdr:nvSpPr>
      <xdr:spPr>
        <a:xfrm>
          <a:off x="48257460" y="1440180"/>
          <a:ext cx="2659380" cy="2241178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om verborgen cellen weer te geven</a:t>
          </a:r>
        </a:p>
        <a:p>
          <a:endParaRPr lang="fr-FR" sz="1100" b="1"/>
        </a:p>
        <a:p>
          <a:r>
            <a:rPr lang="fr-FR" sz="1100" b="1"/>
            <a:t>-selecteer de kolommen W tot AU </a:t>
          </a:r>
        </a:p>
        <a:p>
          <a:r>
            <a:rPr lang="fr-FR" sz="1100" b="1"/>
            <a:t>-rechts klikken </a:t>
          </a:r>
        </a:p>
        <a:p>
          <a:r>
            <a:rPr lang="fr-FR" sz="1100" b="1"/>
            <a:t>-display</a:t>
          </a:r>
        </a:p>
        <a:p>
          <a:endParaRPr lang="fr-FR" sz="1100" b="1"/>
        </a:p>
        <a:p>
          <a:r>
            <a:rPr lang="fr-FR" sz="1100" b="1"/>
            <a:t>verberg de cellen weer, dit beschermt de formules tegen verkeerd gebruik</a:t>
          </a:r>
        </a:p>
        <a:p>
          <a:endParaRPr lang="fr-FR" sz="1100" b="1"/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-selecteer de kolommen X tot AT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-rechts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klikken</a:t>
          </a:r>
        </a:p>
        <a:p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-verbergen</a:t>
          </a:r>
          <a:endParaRPr lang="fr-FR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1988820</xdr:colOff>
      <xdr:row>7</xdr:row>
      <xdr:rowOff>15240</xdr:rowOff>
    </xdr:from>
    <xdr:to>
      <xdr:col>22</xdr:col>
      <xdr:colOff>1965960</xdr:colOff>
      <xdr:row>13</xdr:row>
      <xdr:rowOff>121920</xdr:rowOff>
    </xdr:to>
    <xdr:grpSp>
      <xdr:nvGrpSpPr>
        <xdr:cNvPr id="6" name="Group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13AAE5-FB85-4667-B2C1-623E3D7145D2}"/>
            </a:ext>
          </a:extLst>
        </xdr:cNvPr>
        <xdr:cNvGrpSpPr/>
      </xdr:nvGrpSpPr>
      <xdr:grpSpPr>
        <a:xfrm>
          <a:off x="44565570" y="1348740"/>
          <a:ext cx="2025015" cy="1249680"/>
          <a:chOff x="46024800" y="1188720"/>
          <a:chExt cx="2087880" cy="1203960"/>
        </a:xfrm>
      </xdr:grpSpPr>
      <xdr:sp macro="" textlink="">
        <xdr:nvSpPr>
          <xdr:cNvPr id="7" name="ZoneTexte 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CE9B2DA-4306-4B7C-5ADF-47335B36CB15}"/>
              </a:ext>
            </a:extLst>
          </xdr:cNvPr>
          <xdr:cNvSpPr txBox="1"/>
        </xdr:nvSpPr>
        <xdr:spPr>
          <a:xfrm>
            <a:off x="46024800" y="1562100"/>
            <a:ext cx="2087880" cy="830580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100" b="1" baseline="0">
                <a:solidFill>
                  <a:schemeClr val="tx1"/>
                </a:solidFill>
              </a:rPr>
              <a:t>Klik hier om te worden doorverwezen om een schatting van de verbruikskosten in te voeren</a:t>
            </a:r>
            <a:endParaRPr lang="fr-FR" sz="1100" baseline="0"/>
          </a:p>
        </xdr:txBody>
      </xdr:sp>
      <xdr:pic>
        <xdr:nvPicPr>
          <xdr:cNvPr id="8" name="Graphique 7" descr="Avertissement avec un remplissage uni">
            <a:extLst>
              <a:ext uri="{FF2B5EF4-FFF2-40B4-BE49-F238E27FC236}">
                <a16:creationId xmlns:a16="http://schemas.microsoft.com/office/drawing/2014/main" id="{9705EBBB-46A7-0A99-922F-AA2AA7E1DC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46893480" y="1188720"/>
            <a:ext cx="342900" cy="3429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365760</xdr:colOff>
      <xdr:row>8</xdr:row>
      <xdr:rowOff>0</xdr:rowOff>
    </xdr:from>
    <xdr:to>
      <xdr:col>2</xdr:col>
      <xdr:colOff>389345</xdr:colOff>
      <xdr:row>10</xdr:row>
      <xdr:rowOff>106681</xdr:rowOff>
    </xdr:to>
    <xdr:sp macro="" textlink="">
      <xdr:nvSpPr>
        <xdr:cNvPr id="9" name="Rectangle : coins arrondi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94425D-0498-4B77-A461-1EA4038FA998}"/>
            </a:ext>
          </a:extLst>
        </xdr:cNvPr>
        <xdr:cNvSpPr/>
      </xdr:nvSpPr>
      <xdr:spPr>
        <a:xfrm>
          <a:off x="365760" y="1463040"/>
          <a:ext cx="3795485" cy="472441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 baseline="0"/>
            <a:t>WATERVERBRUIK</a:t>
          </a:r>
          <a:endParaRPr lang="fr-FR" sz="1100" b="1"/>
        </a:p>
      </xdr:txBody>
    </xdr:sp>
    <xdr:clientData/>
  </xdr:twoCellAnchor>
  <xdr:twoCellAnchor>
    <xdr:from>
      <xdr:col>2</xdr:col>
      <xdr:colOff>586740</xdr:colOff>
      <xdr:row>4</xdr:row>
      <xdr:rowOff>82731</xdr:rowOff>
    </xdr:from>
    <xdr:to>
      <xdr:col>4</xdr:col>
      <xdr:colOff>1920240</xdr:colOff>
      <xdr:row>6</xdr:row>
      <xdr:rowOff>106680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30F52014-A669-432D-B56F-699B5D675318}"/>
            </a:ext>
          </a:extLst>
        </xdr:cNvPr>
        <xdr:cNvSpPr/>
      </xdr:nvSpPr>
      <xdr:spPr>
        <a:xfrm>
          <a:off x="4358640" y="814251"/>
          <a:ext cx="5554980" cy="38970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 baseline="0">
              <a:solidFill>
                <a:schemeClr val="bg1">
                  <a:lumMod val="50000"/>
                </a:schemeClr>
              </a:solidFill>
            </a:rPr>
            <a:t>VERBRUIKDATABASE</a:t>
          </a:r>
          <a:endParaRPr lang="fr-FR" sz="18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1567543</xdr:colOff>
      <xdr:row>7</xdr:row>
      <xdr:rowOff>181791</xdr:rowOff>
    </xdr:from>
    <xdr:to>
      <xdr:col>4</xdr:col>
      <xdr:colOff>1131901</xdr:colOff>
      <xdr:row>10</xdr:row>
      <xdr:rowOff>104503</xdr:rowOff>
    </xdr:to>
    <xdr:sp macro="" textlink="">
      <xdr:nvSpPr>
        <xdr:cNvPr id="11" name="Rectangle : coins arrondi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74AE30-2379-4C2D-8C7F-ED8E644122BE}"/>
            </a:ext>
          </a:extLst>
        </xdr:cNvPr>
        <xdr:cNvSpPr/>
      </xdr:nvSpPr>
      <xdr:spPr>
        <a:xfrm>
          <a:off x="5339443" y="1461951"/>
          <a:ext cx="3785838" cy="471352"/>
        </a:xfrm>
        <a:prstGeom prst="round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GASVERBRUIK</a:t>
          </a:r>
        </a:p>
      </xdr:txBody>
    </xdr:sp>
    <xdr:clientData/>
  </xdr:twoCellAnchor>
  <xdr:twoCellAnchor editAs="oneCell">
    <xdr:from>
      <xdr:col>0</xdr:col>
      <xdr:colOff>243840</xdr:colOff>
      <xdr:row>0</xdr:row>
      <xdr:rowOff>146376</xdr:rowOff>
    </xdr:from>
    <xdr:to>
      <xdr:col>1</xdr:col>
      <xdr:colOff>116114</xdr:colOff>
      <xdr:row>2</xdr:row>
      <xdr:rowOff>181049</xdr:rowOff>
    </xdr:to>
    <xdr:pic>
      <xdr:nvPicPr>
        <xdr:cNvPr id="12" name="Image 11" descr="Afficher l’image source">
          <a:extLst>
            <a:ext uri="{FF2B5EF4-FFF2-40B4-BE49-F238E27FC236}">
              <a16:creationId xmlns:a16="http://schemas.microsoft.com/office/drawing/2014/main" id="{01C56990-C5C9-4977-A818-85A35226EF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2432" r="3758" b="14364"/>
        <a:stretch/>
      </xdr:blipFill>
      <xdr:spPr bwMode="auto">
        <a:xfrm>
          <a:off x="243840" y="146376"/>
          <a:ext cx="1190534" cy="400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1510926</xdr:colOff>
      <xdr:row>0</xdr:row>
      <xdr:rowOff>0</xdr:rowOff>
    </xdr:from>
    <xdr:to>
      <xdr:col>6</xdr:col>
      <xdr:colOff>1930922</xdr:colOff>
      <xdr:row>3</xdr:row>
      <xdr:rowOff>141642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79ED0BC3-D7C7-4E9D-9146-9806F7762A99}"/>
            </a:ext>
          </a:extLst>
        </xdr:cNvPr>
        <xdr:cNvGrpSpPr/>
      </xdr:nvGrpSpPr>
      <xdr:grpSpPr>
        <a:xfrm>
          <a:off x="11321676" y="0"/>
          <a:ext cx="2467871" cy="713142"/>
          <a:chOff x="13193649" y="0"/>
          <a:chExt cx="2530736" cy="690282"/>
        </a:xfrm>
      </xdr:grpSpPr>
      <xdr:pic>
        <xdr:nvPicPr>
          <xdr:cNvPr id="15" name="Image 14">
            <a:extLst>
              <a:ext uri="{FF2B5EF4-FFF2-40B4-BE49-F238E27FC236}">
                <a16:creationId xmlns:a16="http://schemas.microsoft.com/office/drawing/2014/main" id="{CFECDF8E-7A35-6169-5D59-FA6C0A57BB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395164" y="0"/>
            <a:ext cx="1329221" cy="690282"/>
          </a:xfrm>
          <a:prstGeom prst="rect">
            <a:avLst/>
          </a:prstGeom>
        </xdr:spPr>
      </xdr:pic>
      <xdr:pic>
        <xdr:nvPicPr>
          <xdr:cNvPr id="16" name="Image 15">
            <a:extLst>
              <a:ext uri="{FF2B5EF4-FFF2-40B4-BE49-F238E27FC236}">
                <a16:creationId xmlns:a16="http://schemas.microsoft.com/office/drawing/2014/main" id="{70B5AC4F-B243-8F83-DCF8-6CA6657E1C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93649" y="69317"/>
            <a:ext cx="1176530" cy="58521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1272540</xdr:colOff>
      <xdr:row>4</xdr:row>
      <xdr:rowOff>44631</xdr:rowOff>
    </xdr:from>
    <xdr:to>
      <xdr:col>6</xdr:col>
      <xdr:colOff>1485900</xdr:colOff>
      <xdr:row>5</xdr:row>
      <xdr:rowOff>106680</xdr:rowOff>
    </xdr:to>
    <xdr:sp macro="" textlink="">
      <xdr:nvSpPr>
        <xdr:cNvPr id="18" name="Rectangle : coins arrondis 17">
          <a:extLst>
            <a:ext uri="{FF2B5EF4-FFF2-40B4-BE49-F238E27FC236}">
              <a16:creationId xmlns:a16="http://schemas.microsoft.com/office/drawing/2014/main" id="{45A5F3E8-AB41-4AB6-9692-C571E7E0E6EB}"/>
            </a:ext>
          </a:extLst>
        </xdr:cNvPr>
        <xdr:cNvSpPr/>
      </xdr:nvSpPr>
      <xdr:spPr>
        <a:xfrm>
          <a:off x="11376660" y="776151"/>
          <a:ext cx="2324100" cy="244929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500" b="1" baseline="0">
              <a:solidFill>
                <a:schemeClr val="bg1">
                  <a:lumMod val="50000"/>
                </a:schemeClr>
              </a:solidFill>
            </a:rPr>
            <a:t>Verbruiksdashboard</a:t>
          </a:r>
          <a:endParaRPr lang="fr-FR" sz="15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6</xdr:col>
      <xdr:colOff>1129160</xdr:colOff>
      <xdr:row>4</xdr:row>
      <xdr:rowOff>146247</xdr:rowOff>
    </xdr:from>
    <xdr:to>
      <xdr:col>6</xdr:col>
      <xdr:colOff>1505916</xdr:colOff>
      <xdr:row>6</xdr:row>
      <xdr:rowOff>157243</xdr:rowOff>
    </xdr:to>
    <xdr:pic>
      <xdr:nvPicPr>
        <xdr:cNvPr id="19" name="Graphique 18" descr="Flèche : incurvée dans le sens des aiguilles d’une montre avec un remplissage uni">
          <a:extLst>
            <a:ext uri="{FF2B5EF4-FFF2-40B4-BE49-F238E27FC236}">
              <a16:creationId xmlns:a16="http://schemas.microsoft.com/office/drawing/2014/main" id="{A7A0581B-40B7-494B-AAC3-0B48DEAE9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 rot="7685067">
          <a:off x="13344020" y="877767"/>
          <a:ext cx="376756" cy="376756"/>
        </a:xfrm>
        <a:prstGeom prst="rect">
          <a:avLst/>
        </a:prstGeom>
      </xdr:spPr>
    </xdr:pic>
    <xdr:clientData/>
  </xdr:twoCellAnchor>
  <xdr:twoCellAnchor>
    <xdr:from>
      <xdr:col>5</xdr:col>
      <xdr:colOff>137160</xdr:colOff>
      <xdr:row>7</xdr:row>
      <xdr:rowOff>121920</xdr:rowOff>
    </xdr:from>
    <xdr:to>
      <xdr:col>6</xdr:col>
      <xdr:colOff>1901733</xdr:colOff>
      <xdr:row>10</xdr:row>
      <xdr:rowOff>171995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id="{49FFA7CE-77D2-4455-B912-15DB14C7A4C3}"/>
            </a:ext>
          </a:extLst>
        </xdr:cNvPr>
        <xdr:cNvGrpSpPr/>
      </xdr:nvGrpSpPr>
      <xdr:grpSpPr>
        <a:xfrm>
          <a:off x="9947910" y="1455420"/>
          <a:ext cx="3812448" cy="621575"/>
          <a:chOff x="10233660" y="1402080"/>
          <a:chExt cx="3875313" cy="598715"/>
        </a:xfrm>
      </xdr:grpSpPr>
      <xdr:sp macro="" textlink="">
        <xdr:nvSpPr>
          <xdr:cNvPr id="21" name="Rectangle : coins arrondis 20">
            <a:extLst>
              <a:ext uri="{FF2B5EF4-FFF2-40B4-BE49-F238E27FC236}">
                <a16:creationId xmlns:a16="http://schemas.microsoft.com/office/drawing/2014/main" id="{B8A65A77-5CB4-3280-6733-845B10DB3EA7}"/>
              </a:ext>
            </a:extLst>
          </xdr:cNvPr>
          <xdr:cNvSpPr/>
        </xdr:nvSpPr>
        <xdr:spPr>
          <a:xfrm>
            <a:off x="10325100" y="1471846"/>
            <a:ext cx="3783873" cy="462936"/>
          </a:xfrm>
          <a:prstGeom prst="roundRect">
            <a:avLst/>
          </a:prstGeom>
          <a:solidFill>
            <a:schemeClr val="accent4"/>
          </a:soli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fr-FR" sz="1100" b="1"/>
              <a:t>ELECTRICITEITVERBRUIK</a:t>
            </a:r>
          </a:p>
        </xdr:txBody>
      </xdr:sp>
      <xdr:grpSp>
        <xdr:nvGrpSpPr>
          <xdr:cNvPr id="22" name="Groupe 21">
            <a:extLst>
              <a:ext uri="{FF2B5EF4-FFF2-40B4-BE49-F238E27FC236}">
                <a16:creationId xmlns:a16="http://schemas.microsoft.com/office/drawing/2014/main" id="{19A851FB-08C2-A5C8-E6D8-47448CD74F7F}"/>
              </a:ext>
            </a:extLst>
          </xdr:cNvPr>
          <xdr:cNvGrpSpPr/>
        </xdr:nvGrpSpPr>
        <xdr:grpSpPr>
          <a:xfrm>
            <a:off x="10233660" y="1402080"/>
            <a:ext cx="692447" cy="598715"/>
            <a:chOff x="7924800" y="3108960"/>
            <a:chExt cx="692447" cy="598715"/>
          </a:xfrm>
        </xdr:grpSpPr>
        <xdr:sp macro="" textlink="">
          <xdr:nvSpPr>
            <xdr:cNvPr id="23" name="Organigramme : Préparation 22">
              <a:extLst>
                <a:ext uri="{FF2B5EF4-FFF2-40B4-BE49-F238E27FC236}">
                  <a16:creationId xmlns:a16="http://schemas.microsoft.com/office/drawing/2014/main" id="{80197036-AF2A-DBB0-19BC-D20F92E8B039}"/>
                </a:ext>
              </a:extLst>
            </xdr:cNvPr>
            <xdr:cNvSpPr/>
          </xdr:nvSpPr>
          <xdr:spPr>
            <a:xfrm>
              <a:off x="7924800" y="3108960"/>
              <a:ext cx="692447" cy="598715"/>
            </a:xfrm>
            <a:prstGeom prst="flowChartPreparation">
              <a:avLst/>
            </a:prstGeom>
            <a:solidFill>
              <a:schemeClr val="bg1"/>
            </a:solidFill>
            <a:ln w="28575">
              <a:solidFill>
                <a:schemeClr val="accent4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24" name="Graphique 1" descr="Éclair avec un remplissage uni">
              <a:extLst>
                <a:ext uri="{FF2B5EF4-FFF2-40B4-BE49-F238E27FC236}">
                  <a16:creationId xmlns:a16="http://schemas.microsoft.com/office/drawing/2014/main" id="{779F3A5C-B5C1-EE01-0170-5DC79D62907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3"/>
                </a:ext>
              </a:extLst>
            </a:blip>
            <a:stretch>
              <a:fillRect/>
            </a:stretch>
          </xdr:blipFill>
          <xdr:spPr>
            <a:xfrm>
              <a:off x="8022172" y="3173108"/>
              <a:ext cx="486877" cy="530595"/>
            </a:xfrm>
            <a:prstGeom prst="rect">
              <a:avLst/>
            </a:prstGeom>
          </xdr:spPr>
        </xdr:pic>
      </xdr:grpSp>
    </xdr:grpSp>
    <xdr:clientData/>
  </xdr:twoCellAnchor>
  <xdr:twoCellAnchor editAs="oneCell">
    <xdr:from>
      <xdr:col>6</xdr:col>
      <xdr:colOff>1516379</xdr:colOff>
      <xdr:row>4</xdr:row>
      <xdr:rowOff>7620</xdr:rowOff>
    </xdr:from>
    <xdr:to>
      <xdr:col>6</xdr:col>
      <xdr:colOff>1910674</xdr:colOff>
      <xdr:row>6</xdr:row>
      <xdr:rowOff>129540</xdr:rowOff>
    </xdr:to>
    <xdr:pic>
      <xdr:nvPicPr>
        <xdr:cNvPr id="28" name="Graphique 27" descr="Statistiques avec un remplissage uni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10C8702-316C-FA65-5FEF-84AEC430E7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rcRect l="23333" r="13333" b="21667"/>
        <a:stretch/>
      </xdr:blipFill>
      <xdr:spPr>
        <a:xfrm>
          <a:off x="13731239" y="739140"/>
          <a:ext cx="394295" cy="487680"/>
        </a:xfrm>
        <a:prstGeom prst="rect">
          <a:avLst/>
        </a:prstGeom>
      </xdr:spPr>
    </xdr:pic>
    <xdr:clientData/>
  </xdr:twoCellAnchor>
  <xdr:twoCellAnchor>
    <xdr:from>
      <xdr:col>46</xdr:col>
      <xdr:colOff>198120</xdr:colOff>
      <xdr:row>9</xdr:row>
      <xdr:rowOff>22860</xdr:rowOff>
    </xdr:from>
    <xdr:to>
      <xdr:col>47</xdr:col>
      <xdr:colOff>777240</xdr:colOff>
      <xdr:row>21</xdr:row>
      <xdr:rowOff>69478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62F0C8A0-4359-4BA3-ABC7-696457763E9F}"/>
            </a:ext>
          </a:extLst>
        </xdr:cNvPr>
        <xdr:cNvSpPr txBox="1"/>
      </xdr:nvSpPr>
      <xdr:spPr>
        <a:xfrm>
          <a:off x="48295560" y="1668780"/>
          <a:ext cx="2659380" cy="2241178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om verborgen cellen weer te geven</a:t>
          </a:r>
        </a:p>
        <a:p>
          <a:endParaRPr lang="fr-FR" sz="1100" b="1"/>
        </a:p>
        <a:p>
          <a:r>
            <a:rPr lang="fr-FR" sz="1100" b="1"/>
            <a:t>-selecteer de kolommen W tot AU </a:t>
          </a:r>
        </a:p>
        <a:p>
          <a:r>
            <a:rPr lang="fr-FR" sz="1100" b="1"/>
            <a:t>-rechts klikken </a:t>
          </a:r>
        </a:p>
        <a:p>
          <a:r>
            <a:rPr lang="fr-FR" sz="1100" b="1"/>
            <a:t>-display</a:t>
          </a:r>
        </a:p>
        <a:p>
          <a:endParaRPr lang="fr-FR" sz="1100" b="1"/>
        </a:p>
        <a:p>
          <a:r>
            <a:rPr lang="fr-FR" sz="1100" b="1"/>
            <a:t>verberg de cellen weer, dit beschermt de formules tegen verkeerd gebruik</a:t>
          </a:r>
        </a:p>
        <a:p>
          <a:endParaRPr lang="fr-FR" sz="1100" b="1"/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-selecteer de kolommen X tot AT</a:t>
          </a: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-rechts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klikken</a:t>
          </a:r>
        </a:p>
        <a:p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-verbergen</a:t>
          </a:r>
          <a:endParaRPr lang="fr-FR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16383</xdr:col>
      <xdr:colOff>137160</xdr:colOff>
      <xdr:row>1048573</xdr:row>
      <xdr:rowOff>38100</xdr:rowOff>
    </xdr:from>
    <xdr:to>
      <xdr:col>16383</xdr:col>
      <xdr:colOff>655320</xdr:colOff>
      <xdr:row>1048575</xdr:row>
      <xdr:rowOff>76200</xdr:rowOff>
    </xdr:to>
    <xdr:pic>
      <xdr:nvPicPr>
        <xdr:cNvPr id="2" name="Graphique 1" descr="Profil mâle avec un remplissage uni">
          <a:extLst>
            <a:ext uri="{FF2B5EF4-FFF2-40B4-BE49-F238E27FC236}">
              <a16:creationId xmlns:a16="http://schemas.microsoft.com/office/drawing/2014/main" id="{D9F52E87-E215-4DBD-BABF-1FE9B8BA6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983337000" y="191763068340"/>
          <a:ext cx="518160" cy="4038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erome Bony" refreshedDate="44911.731679745368" createdVersion="7" refreshedVersion="8" minRefreshableVersion="3" recordCount="3" xr:uid="{3759CB11-8989-41F5-966E-78005ECF9899}">
  <cacheSource type="worksheet">
    <worksheetSource name="Tableau_donnees_eau"/>
  </cacheSource>
  <cacheFields count="46">
    <cacheField name="Mannd/Jaar " numFmtId="164">
      <sharedItems containsSemiMixedTypes="0" containsNonDate="0" containsDate="1" containsString="0" minDate="2022-01-01T00:00:00" maxDate="2022-03-02T00:00:00" count="3">
        <d v="2022-01-01T00:00:00"/>
        <d v="2022-02-01T00:00:00"/>
        <d v="2022-03-01T00:00:00"/>
      </sharedItems>
    </cacheField>
    <cacheField name="Commentaar" numFmtId="0">
      <sharedItems containsNonDate="0" containsString="0" containsBlank="1"/>
    </cacheField>
    <cacheField name="Item [1]" numFmtId="0">
      <sharedItems containsNonDate="0" containsString="0" containsBlank="1"/>
    </cacheField>
    <cacheField name="Item [2]" numFmtId="0">
      <sharedItems containsNonDate="0" containsString="0" containsBlank="1"/>
    </cacheField>
    <cacheField name="Item [3]" numFmtId="0">
      <sharedItems containsNonDate="0" containsString="0" containsBlank="1"/>
    </cacheField>
    <cacheField name="Item [4]" numFmtId="0">
      <sharedItems containsNonDate="0" containsString="0" containsBlank="1"/>
    </cacheField>
    <cacheField name="Item [5]" numFmtId="0">
      <sharedItems containsNonDate="0" containsString="0" containsBlank="1"/>
    </cacheField>
    <cacheField name="Item [6]" numFmtId="0">
      <sharedItems containsNonDate="0" containsString="0" containsBlank="1"/>
    </cacheField>
    <cacheField name="Item [7]" numFmtId="0">
      <sharedItems containsNonDate="0" containsString="0" containsBlank="1"/>
    </cacheField>
    <cacheField name="Item [8]" numFmtId="0">
      <sharedItems containsNonDate="0" containsString="0" containsBlank="1"/>
    </cacheField>
    <cacheField name="Item [9]" numFmtId="0">
      <sharedItems containsNonDate="0" containsString="0" containsBlank="1"/>
    </cacheField>
    <cacheField name="Item [10]" numFmtId="0">
      <sharedItems containsNonDate="0" containsString="0" containsBlank="1"/>
    </cacheField>
    <cacheField name="Item [11]" numFmtId="0">
      <sharedItems containsNonDate="0" containsString="0" containsBlank="1"/>
    </cacheField>
    <cacheField name="Item [12]" numFmtId="0">
      <sharedItems containsNonDate="0" containsString="0" containsBlank="1"/>
    </cacheField>
    <cacheField name="Item [13]" numFmtId="0">
      <sharedItems containsNonDate="0" containsString="0" containsBlank="1"/>
    </cacheField>
    <cacheField name="Item [14]" numFmtId="0">
      <sharedItems containsNonDate="0" containsString="0" containsBlank="1"/>
    </cacheField>
    <cacheField name="Item [15]" numFmtId="0">
      <sharedItems containsNonDate="0" containsString="0" containsBlank="1"/>
    </cacheField>
    <cacheField name="Item [16]" numFmtId="0">
      <sharedItems containsNonDate="0" containsString="0" containsBlank="1"/>
    </cacheField>
    <cacheField name="Item [17]" numFmtId="0">
      <sharedItems containsNonDate="0" containsString="0" containsBlank="1"/>
    </cacheField>
    <cacheField name="Item [18]" numFmtId="0">
      <sharedItems containsNonDate="0" containsString="0" containsBlank="1"/>
    </cacheField>
    <cacheField name="Item [19]" numFmtId="0">
      <sharedItems containsNonDate="0" containsString="0" containsBlank="1"/>
    </cacheField>
    <cacheField name="Item [20]" numFmtId="0">
      <sharedItems containsNonDate="0" containsString="0" containsBlank="1"/>
    </cacheField>
    <cacheField name="Totaal" numFmtId="0">
      <sharedItems containsNonDate="0" containsString="0" containsBlank="1"/>
    </cacheField>
    <cacheField name="Kost item [1]" numFmtId="0">
      <sharedItems containsSemiMixedTypes="0" containsString="0" containsNumber="1" containsInteger="1" minValue="0" maxValue="0"/>
    </cacheField>
    <cacheField name="Kost item [2]" numFmtId="0">
      <sharedItems containsSemiMixedTypes="0" containsString="0" containsNumber="1" containsInteger="1" minValue="0" maxValue="0"/>
    </cacheField>
    <cacheField name="Kost item [3]" numFmtId="0">
      <sharedItems containsSemiMixedTypes="0" containsString="0" containsNumber="1" containsInteger="1" minValue="0" maxValue="0"/>
    </cacheField>
    <cacheField name="Kost item [4]" numFmtId="0">
      <sharedItems containsSemiMixedTypes="0" containsString="0" containsNumber="1" containsInteger="1" minValue="0" maxValue="0"/>
    </cacheField>
    <cacheField name="Kost item [5]" numFmtId="0">
      <sharedItems containsSemiMixedTypes="0" containsString="0" containsNumber="1" containsInteger="1" minValue="0" maxValue="0"/>
    </cacheField>
    <cacheField name="Kost item [6]" numFmtId="0">
      <sharedItems containsSemiMixedTypes="0" containsString="0" containsNumber="1" containsInteger="1" minValue="0" maxValue="0"/>
    </cacheField>
    <cacheField name="Kost item [7]" numFmtId="0">
      <sharedItems containsSemiMixedTypes="0" containsString="0" containsNumber="1" containsInteger="1" minValue="0" maxValue="0"/>
    </cacheField>
    <cacheField name="Kost item [8]" numFmtId="0">
      <sharedItems containsSemiMixedTypes="0" containsString="0" containsNumber="1" containsInteger="1" minValue="0" maxValue="0"/>
    </cacheField>
    <cacheField name="Kost item [9]" numFmtId="0">
      <sharedItems containsSemiMixedTypes="0" containsString="0" containsNumber="1" containsInteger="1" minValue="0" maxValue="0"/>
    </cacheField>
    <cacheField name="Kost item [10]" numFmtId="0">
      <sharedItems containsSemiMixedTypes="0" containsString="0" containsNumber="1" containsInteger="1" minValue="0" maxValue="0"/>
    </cacheField>
    <cacheField name="Kost item [11]" numFmtId="0">
      <sharedItems containsSemiMixedTypes="0" containsString="0" containsNumber="1" containsInteger="1" minValue="0" maxValue="0"/>
    </cacheField>
    <cacheField name="Kost item [12]" numFmtId="0">
      <sharedItems containsSemiMixedTypes="0" containsString="0" containsNumber="1" containsInteger="1" minValue="0" maxValue="0"/>
    </cacheField>
    <cacheField name="Kost item [13]" numFmtId="0">
      <sharedItems containsSemiMixedTypes="0" containsString="0" containsNumber="1" containsInteger="1" minValue="0" maxValue="0"/>
    </cacheField>
    <cacheField name="Kost item [14]" numFmtId="0">
      <sharedItems containsSemiMixedTypes="0" containsString="0" containsNumber="1" containsInteger="1" minValue="0" maxValue="0"/>
    </cacheField>
    <cacheField name="Kost item [15]" numFmtId="0">
      <sharedItems containsSemiMixedTypes="0" containsString="0" containsNumber="1" containsInteger="1" minValue="0" maxValue="0"/>
    </cacheField>
    <cacheField name="Kost item [16]" numFmtId="0">
      <sharedItems containsSemiMixedTypes="0" containsString="0" containsNumber="1" containsInteger="1" minValue="0" maxValue="0"/>
    </cacheField>
    <cacheField name="Kost item [17]" numFmtId="0">
      <sharedItems containsSemiMixedTypes="0" containsString="0" containsNumber="1" containsInteger="1" minValue="0" maxValue="0"/>
    </cacheField>
    <cacheField name="Kost item [18]" numFmtId="0">
      <sharedItems containsSemiMixedTypes="0" containsString="0" containsNumber="1" containsInteger="1" minValue="0" maxValue="0"/>
    </cacheField>
    <cacheField name="Kost item [19]" numFmtId="0">
      <sharedItems containsSemiMixedTypes="0" containsString="0" containsNumber="1" containsInteger="1" minValue="0" maxValue="0"/>
    </cacheField>
    <cacheField name="Kost item [20]" numFmtId="0">
      <sharedItems containsSemiMixedTypes="0" containsString="0" containsNumber="1" containsInteger="1" minValue="0" maxValue="0"/>
    </cacheField>
    <cacheField name="Totale Kosten" numFmtId="0">
      <sharedItems containsSemiMixedTypes="0" containsString="0" containsNumber="1" containsInteger="1" minValue="0" maxValue="0"/>
    </cacheField>
    <cacheField name="MAAND" numFmtId="0">
      <sharedItems count="3">
        <s v="janvier"/>
        <s v="février"/>
        <s v="mars"/>
      </sharedItems>
    </cacheField>
    <cacheField name="JAAR" numFmtId="0">
      <sharedItems containsSemiMixedTypes="0" containsString="0" containsNumber="1" containsInteger="1" minValue="2022" maxValue="2022" count="1">
        <n v="2022"/>
      </sharedItems>
    </cacheField>
  </cacheFields>
  <extLst>
    <ext xmlns:x14="http://schemas.microsoft.com/office/spreadsheetml/2009/9/main" uri="{725AE2AE-9491-48be-B2B4-4EB974FC3084}">
      <x14:pivotCacheDefinition pivotCacheId="1956454398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erome Bony" refreshedDate="44911.731681944446" createdVersion="7" refreshedVersion="8" minRefreshableVersion="3" recordCount="3" xr:uid="{51805130-671F-45E9-94B4-94F004C7A857}">
  <cacheSource type="worksheet">
    <worksheetSource name="Tableau_donnes_gaz"/>
  </cacheSource>
  <cacheFields count="46">
    <cacheField name="Mannd/Jaar" numFmtId="164">
      <sharedItems containsSemiMixedTypes="0" containsNonDate="0" containsDate="1" containsString="0" minDate="2022-01-01T00:00:00" maxDate="2022-03-02T00:00:00" count="3">
        <d v="2022-01-01T00:00:00"/>
        <d v="2022-02-01T00:00:00"/>
        <d v="2022-03-01T00:00:00"/>
      </sharedItems>
    </cacheField>
    <cacheField name="Commentaar" numFmtId="0">
      <sharedItems containsNonDate="0" containsString="0" containsBlank="1"/>
    </cacheField>
    <cacheField name="Item [1]" numFmtId="0">
      <sharedItems containsNonDate="0" containsString="0" containsBlank="1"/>
    </cacheField>
    <cacheField name="Item [2]" numFmtId="0">
      <sharedItems containsNonDate="0" containsString="0" containsBlank="1"/>
    </cacheField>
    <cacheField name="Item [3]" numFmtId="0">
      <sharedItems containsNonDate="0" containsString="0" containsBlank="1"/>
    </cacheField>
    <cacheField name="Item [4]" numFmtId="0">
      <sharedItems containsNonDate="0" containsString="0" containsBlank="1"/>
    </cacheField>
    <cacheField name="Item [5]" numFmtId="0">
      <sharedItems containsNonDate="0" containsString="0" containsBlank="1"/>
    </cacheField>
    <cacheField name="Item [6]" numFmtId="0">
      <sharedItems containsNonDate="0" containsString="0" containsBlank="1"/>
    </cacheField>
    <cacheField name="Item [7]" numFmtId="0">
      <sharedItems containsNonDate="0" containsString="0" containsBlank="1"/>
    </cacheField>
    <cacheField name="Item [8]" numFmtId="0">
      <sharedItems containsNonDate="0" containsString="0" containsBlank="1"/>
    </cacheField>
    <cacheField name="Item [9]" numFmtId="0">
      <sharedItems containsNonDate="0" containsString="0" containsBlank="1"/>
    </cacheField>
    <cacheField name="Item [10]" numFmtId="0">
      <sharedItems containsNonDate="0" containsString="0" containsBlank="1"/>
    </cacheField>
    <cacheField name="Item [11]" numFmtId="0">
      <sharedItems containsNonDate="0" containsString="0" containsBlank="1"/>
    </cacheField>
    <cacheField name="Item [12]" numFmtId="0">
      <sharedItems containsNonDate="0" containsString="0" containsBlank="1"/>
    </cacheField>
    <cacheField name="Item [13]" numFmtId="0">
      <sharedItems containsNonDate="0" containsString="0" containsBlank="1"/>
    </cacheField>
    <cacheField name="Item [14]" numFmtId="0">
      <sharedItems containsNonDate="0" containsString="0" containsBlank="1"/>
    </cacheField>
    <cacheField name="Item [15]" numFmtId="0">
      <sharedItems containsNonDate="0" containsString="0" containsBlank="1"/>
    </cacheField>
    <cacheField name="Item [16]" numFmtId="0">
      <sharedItems containsNonDate="0" containsString="0" containsBlank="1"/>
    </cacheField>
    <cacheField name="Item [17]" numFmtId="0">
      <sharedItems containsNonDate="0" containsString="0" containsBlank="1"/>
    </cacheField>
    <cacheField name="Item [18]" numFmtId="0">
      <sharedItems containsNonDate="0" containsString="0" containsBlank="1"/>
    </cacheField>
    <cacheField name="Item [19]" numFmtId="0">
      <sharedItems containsNonDate="0" containsString="0" containsBlank="1"/>
    </cacheField>
    <cacheField name="Item [20]" numFmtId="0">
      <sharedItems containsNonDate="0" containsString="0" containsBlank="1"/>
    </cacheField>
    <cacheField name="Totaal" numFmtId="0">
      <sharedItems containsNonDate="0" containsString="0" containsBlank="1"/>
    </cacheField>
    <cacheField name="Kost item [1]" numFmtId="0">
      <sharedItems containsSemiMixedTypes="0" containsString="0" containsNumber="1" containsInteger="1" minValue="0" maxValue="0"/>
    </cacheField>
    <cacheField name="Kost item [2]" numFmtId="0">
      <sharedItems containsSemiMixedTypes="0" containsString="0" containsNumber="1" containsInteger="1" minValue="0" maxValue="0"/>
    </cacheField>
    <cacheField name="Kost item [3]" numFmtId="0">
      <sharedItems containsSemiMixedTypes="0" containsString="0" containsNumber="1" containsInteger="1" minValue="0" maxValue="0"/>
    </cacheField>
    <cacheField name="Kost item [4]" numFmtId="0">
      <sharedItems containsSemiMixedTypes="0" containsString="0" containsNumber="1" containsInteger="1" minValue="0" maxValue="0"/>
    </cacheField>
    <cacheField name="Kost item [5]" numFmtId="0">
      <sharedItems containsSemiMixedTypes="0" containsString="0" containsNumber="1" containsInteger="1" minValue="0" maxValue="0"/>
    </cacheField>
    <cacheField name="Kost item [6]" numFmtId="0">
      <sharedItems containsSemiMixedTypes="0" containsString="0" containsNumber="1" containsInteger="1" minValue="0" maxValue="0"/>
    </cacheField>
    <cacheField name="Kost item [7]" numFmtId="0">
      <sharedItems containsSemiMixedTypes="0" containsString="0" containsNumber="1" containsInteger="1" minValue="0" maxValue="0"/>
    </cacheField>
    <cacheField name="Kost item [8]" numFmtId="0">
      <sharedItems containsSemiMixedTypes="0" containsString="0" containsNumber="1" containsInteger="1" minValue="0" maxValue="0"/>
    </cacheField>
    <cacheField name="Kost item [9]" numFmtId="0">
      <sharedItems containsSemiMixedTypes="0" containsString="0" containsNumber="1" containsInteger="1" minValue="0" maxValue="0"/>
    </cacheField>
    <cacheField name="Kost item [10]" numFmtId="0">
      <sharedItems containsSemiMixedTypes="0" containsString="0" containsNumber="1" containsInteger="1" minValue="0" maxValue="0"/>
    </cacheField>
    <cacheField name="Kost item [11]" numFmtId="0">
      <sharedItems containsSemiMixedTypes="0" containsString="0" containsNumber="1" containsInteger="1" minValue="0" maxValue="0"/>
    </cacheField>
    <cacheField name="Kost item [12]" numFmtId="0">
      <sharedItems containsSemiMixedTypes="0" containsString="0" containsNumber="1" containsInteger="1" minValue="0" maxValue="0"/>
    </cacheField>
    <cacheField name="Kost item [13]" numFmtId="0">
      <sharedItems containsSemiMixedTypes="0" containsString="0" containsNumber="1" containsInteger="1" minValue="0" maxValue="0"/>
    </cacheField>
    <cacheField name="Kost item [14]" numFmtId="0">
      <sharedItems containsSemiMixedTypes="0" containsString="0" containsNumber="1" containsInteger="1" minValue="0" maxValue="0"/>
    </cacheField>
    <cacheField name="Kost item [15]" numFmtId="0">
      <sharedItems containsSemiMixedTypes="0" containsString="0" containsNumber="1" containsInteger="1" minValue="0" maxValue="0"/>
    </cacheField>
    <cacheField name="Kost item [16]" numFmtId="0">
      <sharedItems containsSemiMixedTypes="0" containsString="0" containsNumber="1" containsInteger="1" minValue="0" maxValue="0"/>
    </cacheField>
    <cacheField name="Kost item [17]" numFmtId="0">
      <sharedItems containsSemiMixedTypes="0" containsString="0" containsNumber="1" containsInteger="1" minValue="0" maxValue="0"/>
    </cacheField>
    <cacheField name="Kost item [18]" numFmtId="0">
      <sharedItems containsSemiMixedTypes="0" containsString="0" containsNumber="1" containsInteger="1" minValue="0" maxValue="0"/>
    </cacheField>
    <cacheField name="Kost item [19]" numFmtId="0">
      <sharedItems containsSemiMixedTypes="0" containsString="0" containsNumber="1" containsInteger="1" minValue="0" maxValue="0"/>
    </cacheField>
    <cacheField name="Kost item [20]" numFmtId="0">
      <sharedItems containsSemiMixedTypes="0" containsString="0" containsNumber="1" containsInteger="1" minValue="0" maxValue="0"/>
    </cacheField>
    <cacheField name="Totale Kosten" numFmtId="0">
      <sharedItems containsSemiMixedTypes="0" containsString="0" containsNumber="1" containsInteger="1" minValue="0" maxValue="0"/>
    </cacheField>
    <cacheField name="MAAND" numFmtId="0">
      <sharedItems count="3">
        <s v="janvier"/>
        <s v="février"/>
        <s v="mars"/>
      </sharedItems>
    </cacheField>
    <cacheField name="JAAR" numFmtId="0">
      <sharedItems containsSemiMixedTypes="0" containsString="0" containsNumber="1" containsInteger="1" minValue="2022" maxValue="2022" count="1">
        <n v="2022"/>
      </sharedItems>
    </cacheField>
  </cacheFields>
  <extLst>
    <ext xmlns:x14="http://schemas.microsoft.com/office/spreadsheetml/2009/9/main" uri="{725AE2AE-9491-48be-B2B4-4EB974FC3084}">
      <x14:pivotCacheDefinition pivotCacheId="1334326007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erome Bony" refreshedDate="44911.731683680555" createdVersion="7" refreshedVersion="8" minRefreshableVersion="3" recordCount="3" xr:uid="{51A02E47-3EC4-4582-B6A3-EA5B296DD696}">
  <cacheSource type="worksheet">
    <worksheetSource name="Tableau_donnees_elec"/>
  </cacheSource>
  <cacheFields count="46">
    <cacheField name="Maand/Jaar" numFmtId="164">
      <sharedItems containsSemiMixedTypes="0" containsNonDate="0" containsDate="1" containsString="0" minDate="2022-01-01T00:00:00" maxDate="2022-03-02T00:00:00" count="3">
        <d v="2022-01-01T00:00:00"/>
        <d v="2022-02-01T00:00:00"/>
        <d v="2022-03-01T00:00:00"/>
      </sharedItems>
    </cacheField>
    <cacheField name="Commentaar" numFmtId="0">
      <sharedItems containsNonDate="0" containsString="0" containsBlank="1"/>
    </cacheField>
    <cacheField name="Item [1]" numFmtId="0">
      <sharedItems containsNonDate="0" containsString="0" containsBlank="1"/>
    </cacheField>
    <cacheField name="Item [2]" numFmtId="0">
      <sharedItems containsNonDate="0" containsString="0" containsBlank="1"/>
    </cacheField>
    <cacheField name="Item [3] " numFmtId="0">
      <sharedItems containsNonDate="0" containsString="0" containsBlank="1"/>
    </cacheField>
    <cacheField name="Item [4] " numFmtId="0">
      <sharedItems containsNonDate="0" containsString="0" containsBlank="1"/>
    </cacheField>
    <cacheField name="Item [5]" numFmtId="0">
      <sharedItems containsNonDate="0" containsString="0" containsBlank="1"/>
    </cacheField>
    <cacheField name="Item [6]" numFmtId="0">
      <sharedItems containsNonDate="0" containsString="0" containsBlank="1"/>
    </cacheField>
    <cacheField name="Item [7] " numFmtId="0">
      <sharedItems containsNonDate="0" containsString="0" containsBlank="1"/>
    </cacheField>
    <cacheField name="Item [8]" numFmtId="0">
      <sharedItems containsNonDate="0" containsString="0" containsBlank="1"/>
    </cacheField>
    <cacheField name="Item [9]" numFmtId="0">
      <sharedItems containsNonDate="0" containsString="0" containsBlank="1"/>
    </cacheField>
    <cacheField name="Item [10]" numFmtId="0">
      <sharedItems containsNonDate="0" containsString="0" containsBlank="1"/>
    </cacheField>
    <cacheField name="Item [11]" numFmtId="0">
      <sharedItems containsNonDate="0" containsString="0" containsBlank="1"/>
    </cacheField>
    <cacheField name="Item [12]" numFmtId="0">
      <sharedItems containsNonDate="0" containsString="0" containsBlank="1"/>
    </cacheField>
    <cacheField name="Item [13]" numFmtId="0">
      <sharedItems containsNonDate="0" containsString="0" containsBlank="1"/>
    </cacheField>
    <cacheField name="Item [14]" numFmtId="0">
      <sharedItems containsNonDate="0" containsString="0" containsBlank="1"/>
    </cacheField>
    <cacheField name="Item [15]" numFmtId="0">
      <sharedItems containsNonDate="0" containsString="0" containsBlank="1"/>
    </cacheField>
    <cacheField name="Item [16]" numFmtId="0">
      <sharedItems containsNonDate="0" containsString="0" containsBlank="1"/>
    </cacheField>
    <cacheField name="Item [17]" numFmtId="0">
      <sharedItems containsNonDate="0" containsString="0" containsBlank="1"/>
    </cacheField>
    <cacheField name="Item [18]" numFmtId="0">
      <sharedItems containsNonDate="0" containsString="0" containsBlank="1"/>
    </cacheField>
    <cacheField name="Item [19]" numFmtId="0">
      <sharedItems containsNonDate="0" containsString="0" containsBlank="1"/>
    </cacheField>
    <cacheField name="Item [20]" numFmtId="0">
      <sharedItems containsNonDate="0" containsString="0" containsBlank="1"/>
    </cacheField>
    <cacheField name="Totaal" numFmtId="0">
      <sharedItems containsNonDate="0" containsString="0" containsBlank="1"/>
    </cacheField>
    <cacheField name="Kost Item [1]" numFmtId="0">
      <sharedItems containsSemiMixedTypes="0" containsString="0" containsNumber="1" containsInteger="1" minValue="0" maxValue="0"/>
    </cacheField>
    <cacheField name="Kost item [2]" numFmtId="0">
      <sharedItems containsSemiMixedTypes="0" containsString="0" containsNumber="1" containsInteger="1" minValue="0" maxValue="0"/>
    </cacheField>
    <cacheField name="Kost item [3]" numFmtId="0">
      <sharedItems containsSemiMixedTypes="0" containsString="0" containsNumber="1" containsInteger="1" minValue="0" maxValue="0"/>
    </cacheField>
    <cacheField name="Kost item [4]" numFmtId="0">
      <sharedItems containsSemiMixedTypes="0" containsString="0" containsNumber="1" containsInteger="1" minValue="0" maxValue="0"/>
    </cacheField>
    <cacheField name="Kost item [5]" numFmtId="0">
      <sharedItems containsSemiMixedTypes="0" containsString="0" containsNumber="1" containsInteger="1" minValue="0" maxValue="0"/>
    </cacheField>
    <cacheField name="Kost item [6]" numFmtId="0">
      <sharedItems containsSemiMixedTypes="0" containsString="0" containsNumber="1" containsInteger="1" minValue="0" maxValue="0"/>
    </cacheField>
    <cacheField name="Kost item [7]" numFmtId="0">
      <sharedItems containsSemiMixedTypes="0" containsString="0" containsNumber="1" containsInteger="1" minValue="0" maxValue="0"/>
    </cacheField>
    <cacheField name="Kost item [8] " numFmtId="0">
      <sharedItems containsSemiMixedTypes="0" containsString="0" containsNumber="1" containsInteger="1" minValue="0" maxValue="0"/>
    </cacheField>
    <cacheField name="Kost item [9]" numFmtId="0">
      <sharedItems containsSemiMixedTypes="0" containsString="0" containsNumber="1" containsInteger="1" minValue="0" maxValue="0"/>
    </cacheField>
    <cacheField name="Kost item [10]" numFmtId="0">
      <sharedItems containsSemiMixedTypes="0" containsString="0" containsNumber="1" containsInteger="1" minValue="0" maxValue="0"/>
    </cacheField>
    <cacheField name="Kost item [11]" numFmtId="0">
      <sharedItems containsSemiMixedTypes="0" containsString="0" containsNumber="1" containsInteger="1" minValue="0" maxValue="0"/>
    </cacheField>
    <cacheField name="Kost item [12]" numFmtId="0">
      <sharedItems containsSemiMixedTypes="0" containsString="0" containsNumber="1" containsInteger="1" minValue="0" maxValue="0"/>
    </cacheField>
    <cacheField name="Kost item [13]" numFmtId="0">
      <sharedItems containsSemiMixedTypes="0" containsString="0" containsNumber="1" containsInteger="1" minValue="0" maxValue="0"/>
    </cacheField>
    <cacheField name="Kost item [14]" numFmtId="0">
      <sharedItems containsSemiMixedTypes="0" containsString="0" containsNumber="1" containsInteger="1" minValue="0" maxValue="0"/>
    </cacheField>
    <cacheField name="Kost item [15]" numFmtId="0">
      <sharedItems containsSemiMixedTypes="0" containsString="0" containsNumber="1" containsInteger="1" minValue="0" maxValue="0"/>
    </cacheField>
    <cacheField name="Kost item [16]" numFmtId="0">
      <sharedItems containsSemiMixedTypes="0" containsString="0" containsNumber="1" containsInteger="1" minValue="0" maxValue="0"/>
    </cacheField>
    <cacheField name="Kost item [17]" numFmtId="0">
      <sharedItems containsSemiMixedTypes="0" containsString="0" containsNumber="1" containsInteger="1" minValue="0" maxValue="0"/>
    </cacheField>
    <cacheField name="Kost item [18]" numFmtId="0">
      <sharedItems containsSemiMixedTypes="0" containsString="0" containsNumber="1" containsInteger="1" minValue="0" maxValue="0"/>
    </cacheField>
    <cacheField name="Kost item [19]" numFmtId="0">
      <sharedItems containsSemiMixedTypes="0" containsString="0" containsNumber="1" containsInteger="1" minValue="0" maxValue="0"/>
    </cacheField>
    <cacheField name="Kost item [20]" numFmtId="0">
      <sharedItems containsSemiMixedTypes="0" containsString="0" containsNumber="1" containsInteger="1" minValue="0" maxValue="0"/>
    </cacheField>
    <cacheField name="Totale Kosten" numFmtId="0">
      <sharedItems containsSemiMixedTypes="0" containsString="0" containsNumber="1" containsInteger="1" minValue="0" maxValue="0"/>
    </cacheField>
    <cacheField name="MAAND" numFmtId="0">
      <sharedItems count="3">
        <s v="janvier"/>
        <s v="février"/>
        <s v="mars"/>
      </sharedItems>
    </cacheField>
    <cacheField name="JAAR" numFmtId="0">
      <sharedItems containsSemiMixedTypes="0" containsString="0" containsNumber="1" containsInteger="1" minValue="2022" maxValue="2022" count="1">
        <n v="2022"/>
      </sharedItems>
    </cacheField>
  </cacheFields>
  <extLst>
    <ext xmlns:x14="http://schemas.microsoft.com/office/spreadsheetml/2009/9/main" uri="{725AE2AE-9491-48be-B2B4-4EB974FC3084}">
      <x14:pivotCacheDefinition pivotCacheId="22577665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</r>
  <r>
    <x v="2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</r>
  <r>
    <x v="2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x v="0"/>
  </r>
  <r>
    <x v="2"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99B9BB-7192-4643-95FE-A7D43409E37B}" name="Tab_histo_conso_postes_EAU(10)" cacheId="81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3">
  <location ref="A25:C27" firstHeaderRow="1" firstDataRow="2" firstDataCol="1"/>
  <pivotFields count="46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Items count="1">
    <i/>
  </rowItems>
  <colFields count="1">
    <field x="45"/>
  </colFields>
  <colItems count="2">
    <i>
      <x/>
    </i>
    <i t="grand">
      <x/>
    </i>
  </colItems>
  <dataFields count="1">
    <dataField name=" Totale Kosten" fld="43" baseField="0" baseItem="0"/>
  </dataFields>
  <chartFormats count="2">
    <chartFormat chart="2" format="8" series="1">
      <pivotArea type="data" outline="0" fieldPosition="0">
        <references count="1">
          <reference field="45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5ECAEC-3AFD-48B0-8F0E-6B868F3E16F0}" name="Tab_evolution_conso_tot_GAZ(15)" cacheId="86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4">
  <location ref="A3:C8" firstHeaderRow="1" firstDataRow="2" firstDataCol="1"/>
  <pivotFields count="46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Fields count="1">
    <field x="44"/>
  </rowFields>
  <rowItems count="4">
    <i>
      <x/>
    </i>
    <i>
      <x v="1"/>
    </i>
    <i>
      <x v="2"/>
    </i>
    <i t="grand">
      <x/>
    </i>
  </rowItems>
  <colFields count="1">
    <field x="45"/>
  </colFields>
  <colItems count="2">
    <i>
      <x/>
    </i>
    <i t="grand">
      <x/>
    </i>
  </colItems>
  <dataFields count="1">
    <dataField name=" Totaal" fld="22" baseField="45" baseItem="0"/>
  </dataFields>
  <chartFormats count="1"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C11E2C-A1D2-4B2F-9F79-EA75E59987C9}" name="Tab_histo_conso_postes_GAZ(18)" cacheId="86" dataOnRows="1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3">
  <location ref="A3:C7" firstHeaderRow="1" firstDataRow="2" firstDataCol="1"/>
  <pivotFields count="46">
    <pivotField numFmtId="164"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Fields count="1">
    <field x="-2"/>
  </rowFields>
  <rowItems count="3">
    <i>
      <x/>
    </i>
    <i i="1">
      <x v="1"/>
    </i>
    <i i="2">
      <x v="2"/>
    </i>
  </rowItems>
  <colFields count="1">
    <field x="45"/>
  </colFields>
  <colItems count="2">
    <i>
      <x/>
    </i>
    <i t="grand">
      <x/>
    </i>
  </colItems>
  <dataFields count="3">
    <dataField name=" Item [1]" fld="2" baseField="0" baseItem="0"/>
    <dataField name=" Item [2]" fld="3" baseField="0" baseItem="0"/>
    <dataField name=" Item [3]" fld="4" baseField="0" baseItem="0"/>
  </dataFields>
  <chartFormats count="2"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775416-BA8A-4DEC-AEDC-83D4C18559EC}" name="Tab_histo_cout_conso_postes_GAZ(19)" cacheId="86" dataOnRows="1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3">
  <location ref="A3:C7" firstHeaderRow="1" firstDataRow="2" firstDataCol="1"/>
  <pivotFields count="46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Fields count="1">
    <field x="-2"/>
  </rowFields>
  <rowItems count="3">
    <i>
      <x/>
    </i>
    <i i="1">
      <x v="1"/>
    </i>
    <i i="2">
      <x v="2"/>
    </i>
  </rowItems>
  <colFields count="1">
    <field x="45"/>
  </colFields>
  <colItems count="2">
    <i>
      <x/>
    </i>
    <i t="grand">
      <x/>
    </i>
  </colItems>
  <dataFields count="3">
    <dataField name=" Kost item [1]" fld="23" baseField="0" baseItem="0"/>
    <dataField name=" Kost item [2]" fld="24" baseField="0" baseItem="0"/>
    <dataField name=" Kost item [3]" fld="25" baseField="0" baseItem="0"/>
  </dataFields>
  <chartFormats count="2"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701C2A-B1A4-46F6-A631-1030AAE5EB9E}" name="Tab_evolution_conso_postes_GAZ(20)" cacheId="86" applyNumberFormats="0" applyBorderFormats="0" applyFontFormats="0" applyPatternFormats="0" applyAlignmentFormats="0" applyWidthHeightFormats="1" dataCaption="Valeurs" updatedVersion="8" minRefreshableVersion="5" useAutoFormatting="1" itemPrintTitles="1" createdVersion="7" indent="0" outline="1" outlineData="1" multipleFieldFilters="0" chartFormat="3">
  <location ref="A3:G9" firstHeaderRow="1" firstDataRow="3" firstDataCol="1"/>
  <pivotFields count="46">
    <pivotField numFmtId="164" showAll="0">
      <items count="4">
        <item x="0"/>
        <item x="1"/>
        <item x="2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Fields count="1">
    <field x="44"/>
  </rowFields>
  <rowItems count="4">
    <i>
      <x/>
    </i>
    <i>
      <x v="1"/>
    </i>
    <i>
      <x v="2"/>
    </i>
    <i t="grand">
      <x/>
    </i>
  </rowItems>
  <colFields count="2">
    <field x="45"/>
    <field x="-2"/>
  </colFields>
  <colItems count="6">
    <i>
      <x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 Item [1]" fld="2" baseField="0" baseItem="0"/>
    <dataField name=" Item [2]" fld="3" baseField="0" baseItem="0"/>
    <dataField name=" Item [3]" fld="4" baseField="0" baseItem="0"/>
  </dataFields>
  <chartFormats count="4">
    <chartFormat chart="2" format="61" series="1">
      <pivotArea type="data" outline="0" fieldPosition="0">
        <references count="1">
          <reference field="45" count="1" selected="0">
            <x v="0"/>
          </reference>
        </references>
      </pivotArea>
    </chartFormat>
    <chartFormat chart="2" format="62" series="1">
      <pivotArea type="data" outline="0" fieldPosition="0">
        <references count="2">
          <reference field="4294967294" count="1" selected="0">
            <x v="1"/>
          </reference>
          <reference field="45" count="1" selected="0">
            <x v="0"/>
          </reference>
        </references>
      </pivotArea>
    </chartFormat>
    <chartFormat chart="2" format="63" series="1">
      <pivotArea type="data" outline="0" fieldPosition="0">
        <references count="2">
          <reference field="4294967294" count="1" selected="0">
            <x v="2"/>
          </reference>
          <reference field="45" count="1" selected="0">
            <x v="0"/>
          </reference>
        </references>
      </pivotArea>
    </chartFormat>
    <chartFormat chart="2" format="64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406A9A-F0F6-4851-A7D6-236A919303D3}" name="Tab_secteur_conso_postes_GAZ(21)" cacheId="86" dataOnRows="1" applyNumberFormats="0" applyBorderFormats="0" applyFontFormats="0" applyPatternFormats="0" applyAlignmentFormats="0" applyWidthHeightFormats="1" dataCaption="Valeurs" updatedVersion="8" minRefreshableVersion="5" useAutoFormatting="1" itemPrintTitles="1" createdVersion="7" indent="0" outline="1" outlineData="1" multipleFieldFilters="0" chartFormat="3">
  <location ref="A3:B6" firstHeaderRow="1" firstDataRow="1" firstDataCol="1"/>
  <pivotFields count="46">
    <pivotField numFmtId="164" showAll="0">
      <items count="4">
        <item x="0"/>
        <item x="1"/>
        <item x="2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3">
    <i>
      <x/>
    </i>
    <i i="1">
      <x v="1"/>
    </i>
    <i i="2">
      <x v="2"/>
    </i>
  </rowItems>
  <colItems count="1">
    <i/>
  </colItems>
  <dataFields count="3">
    <dataField name=" Item [1]" fld="2" baseField="0" baseItem="0"/>
    <dataField name=" Item [2]" fld="3" baseField="0" baseItem="0"/>
    <dataField name=" Item [3]" fld="4" baseField="0" baseItem="0"/>
  </dataFields>
  <chartFormats count="6">
    <chartFormat chart="2" format="6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6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67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69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439F99-B4B7-481F-BA80-F9BE0613D4E8}" name="Tab_histo_Conso_Tot_ELEC(2)" cacheId="91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6">
  <location ref="A20:C22" firstHeaderRow="1" firstDataRow="2" firstDataCol="1"/>
  <pivotFields count="46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Items count="1">
    <i/>
  </rowItems>
  <colFields count="1">
    <field x="45"/>
  </colFields>
  <colItems count="2">
    <i>
      <x/>
    </i>
    <i t="grand">
      <x/>
    </i>
  </colItems>
  <dataFields count="1">
    <dataField name=" Totaal" fld="22" baseField="0" baseItem="0"/>
  </dataFields>
  <chartFormats count="1">
    <chartFormat chart="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37C233-A109-4EF2-B248-BEA9B3E77FCA}" name="Tab_Evolution_Conso_tot_ELEC(1)" cacheId="91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7">
  <location ref="A3:C8" firstHeaderRow="1" firstDataRow="2" firstDataCol="1"/>
  <pivotFields count="46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Fields count="1">
    <field x="44"/>
  </rowFields>
  <rowItems count="4">
    <i>
      <x/>
    </i>
    <i>
      <x v="1"/>
    </i>
    <i>
      <x v="2"/>
    </i>
    <i t="grand">
      <x/>
    </i>
  </rowItems>
  <colFields count="1">
    <field x="45"/>
  </colFields>
  <colItems count="2">
    <i>
      <x/>
    </i>
    <i t="grand">
      <x/>
    </i>
  </colItems>
  <dataFields count="1">
    <dataField name=" Totaal" fld="22" baseField="44" baseItem="0"/>
  </dataFields>
  <chartFormats count="2">
    <chartFormat chart="2" format="8" series="1">
      <pivotArea type="data" outline="0" fieldPosition="0">
        <references count="1">
          <reference field="45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AF55E1-931A-43E7-AC78-DF79F80F5B62}" name="Tab_histo_Cout_Conso_Tot_ELEC(3)" cacheId="91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5">
  <location ref="A25:C27" firstHeaderRow="1" firstDataRow="2" firstDataCol="1"/>
  <pivotFields count="46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Items count="1">
    <i/>
  </rowItems>
  <colFields count="1">
    <field x="45"/>
  </colFields>
  <colItems count="2">
    <i>
      <x/>
    </i>
    <i t="grand">
      <x/>
    </i>
  </colItems>
  <dataFields count="1">
    <dataField name=" Totale Kosten" fld="43" baseField="0" baseItem="0"/>
  </dataFields>
  <formats count="1">
    <format dxfId="1">
      <pivotArea outline="0" collapsedLevelsAreSubtotals="1" fieldPosition="0"/>
    </format>
  </formats>
  <chartFormats count="1">
    <chartFormat chart="2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8D641C-0A8E-44A5-B9D6-A490ACDA5F66}" name="Tab_histo_conso_postes_ELEC(4)" cacheId="91" dataOnRows="1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9">
  <location ref="A3:C7" firstHeaderRow="1" firstDataRow="2" firstDataCol="1"/>
  <pivotFields count="46">
    <pivotField numFmtId="164"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Fields count="1">
    <field x="-2"/>
  </rowFields>
  <rowItems count="3">
    <i>
      <x/>
    </i>
    <i i="1">
      <x v="1"/>
    </i>
    <i i="2">
      <x v="2"/>
    </i>
  </rowItems>
  <colFields count="1">
    <field x="45"/>
  </colFields>
  <colItems count="2">
    <i>
      <x/>
    </i>
    <i t="grand">
      <x/>
    </i>
  </colItems>
  <dataFields count="3">
    <dataField name=" Item [1]" fld="2" baseField="45" baseItem="1"/>
    <dataField name=" Item [2]" fld="3" baseField="45" baseItem="1"/>
    <dataField name=" Item [3] " fld="4" baseField="45" baseItem="1"/>
  </dataFields>
  <chartFormats count="2">
    <chartFormat chart="4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F78A13-7916-4F31-A876-CB8E9BDF6087}" name="Tab_histo_cout_conso_postes_ELEC(5)" cacheId="91" dataOnRows="1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7">
  <location ref="A3:C7" firstHeaderRow="1" firstDataRow="2" firstDataCol="1"/>
  <pivotFields count="46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Fields count="1">
    <field x="-2"/>
  </rowFields>
  <rowItems count="3">
    <i>
      <x/>
    </i>
    <i i="1">
      <x v="1"/>
    </i>
    <i i="2">
      <x v="2"/>
    </i>
  </rowItems>
  <colFields count="1">
    <field x="45"/>
  </colFields>
  <colItems count="2">
    <i>
      <x/>
    </i>
    <i t="grand">
      <x/>
    </i>
  </colItems>
  <dataFields count="3">
    <dataField name=" Kost Item [1]" fld="23" baseField="45" baseItem="1"/>
    <dataField name=" Kost item [2]" fld="24" baseField="45" baseItem="1"/>
    <dataField name=" Kost item [3]" fld="25" baseField="45" baseItem="1"/>
  </dataFields>
  <chartFormats count="2"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D53EE8-6A9B-41CB-A3CB-A2127D6E382B}" name="Tab_histo_conso_tot_EAU(9)" cacheId="81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3">
  <location ref="A20:C22" firstHeaderRow="1" firstDataRow="2" firstDataCol="1"/>
  <pivotFields count="46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Items count="1">
    <i/>
  </rowItems>
  <colFields count="1">
    <field x="45"/>
  </colFields>
  <colItems count="2">
    <i>
      <x/>
    </i>
    <i t="grand">
      <x/>
    </i>
  </colItems>
  <dataFields count="1">
    <dataField name=" Totaal" fld="22" baseField="0" baseItem="0"/>
  </dataFields>
  <chartFormats count="1"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2F5A12-B3D0-4A2A-9F2D-0C0704457479}" name="Tab_Evolution_Conso_Postes_ELEC(6)" cacheId="91" applyNumberFormats="0" applyBorderFormats="0" applyFontFormats="0" applyPatternFormats="0" applyAlignmentFormats="0" applyWidthHeightFormats="1" dataCaption="Valeurs" updatedVersion="8" minRefreshableVersion="5" useAutoFormatting="1" itemPrintTitles="1" createdVersion="7" indent="0" outline="1" outlineData="1" multipleFieldFilters="0" chartFormat="6">
  <location ref="A3:G9" firstHeaderRow="1" firstDataRow="3" firstDataCol="1"/>
  <pivotFields count="46">
    <pivotField numFmtId="164" showAll="0">
      <items count="4">
        <item x="0"/>
        <item x="1"/>
        <item x="2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Fields count="1">
    <field x="44"/>
  </rowFields>
  <rowItems count="4">
    <i>
      <x/>
    </i>
    <i>
      <x v="1"/>
    </i>
    <i>
      <x v="2"/>
    </i>
    <i t="grand">
      <x/>
    </i>
  </rowItems>
  <colFields count="2">
    <field x="45"/>
    <field x="-2"/>
  </colFields>
  <colItems count="6">
    <i>
      <x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 Item [1]" fld="2" baseField="44" baseItem="0"/>
    <dataField name=" Item [2]" fld="3" baseField="44" baseItem="0"/>
    <dataField name=" Item [3] " fld="4" baseField="44" baseItem="0"/>
  </dataFields>
  <chartFormats count="4">
    <chartFormat chart="5" format="66" series="1">
      <pivotArea type="data" outline="0" fieldPosition="0">
        <references count="1">
          <reference field="45" count="1" selected="0">
            <x v="0"/>
          </reference>
        </references>
      </pivotArea>
    </chartFormat>
    <chartFormat chart="5" format="67" series="1">
      <pivotArea type="data" outline="0" fieldPosition="0">
        <references count="2">
          <reference field="4294967294" count="1" selected="0">
            <x v="1"/>
          </reference>
          <reference field="45" count="1" selected="0">
            <x v="0"/>
          </reference>
        </references>
      </pivotArea>
    </chartFormat>
    <chartFormat chart="5" format="68" series="1">
      <pivotArea type="data" outline="0" fieldPosition="0">
        <references count="2">
          <reference field="4294967294" count="1" selected="0">
            <x v="2"/>
          </reference>
          <reference field="45" count="1" selected="0">
            <x v="0"/>
          </reference>
        </references>
      </pivotArea>
    </chartFormat>
    <chartFormat chart="5" format="69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93042A-4871-458B-827F-3FE4627D6614}" name="Tab_Secteur_Conso_postes_ELEC(7)" cacheId="91" dataOnRows="1" applyNumberFormats="0" applyBorderFormats="0" applyFontFormats="0" applyPatternFormats="0" applyAlignmentFormats="0" applyWidthHeightFormats="1" dataCaption="Valeurs" updatedVersion="8" minRefreshableVersion="5" useAutoFormatting="1" itemPrintTitles="1" createdVersion="7" indent="0" outline="1" outlineData="1" multipleFieldFilters="0" chartFormat="4">
  <location ref="A3:B6" firstHeaderRow="1" firstDataRow="1" firstDataCol="1"/>
  <pivotFields count="46">
    <pivotField numFmtId="164" showAll="0">
      <items count="4">
        <item x="0"/>
        <item x="1"/>
        <item x="2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3">
    <i>
      <x/>
    </i>
    <i i="1">
      <x v="1"/>
    </i>
    <i i="2">
      <x v="2"/>
    </i>
  </rowItems>
  <colItems count="1">
    <i/>
  </colItems>
  <dataFields count="3">
    <dataField name=" Item [1]" fld="2" baseField="0" baseItem="0"/>
    <dataField name=" Item [2]" fld="3" baseField="0" baseItem="0"/>
    <dataField name=" Item [3] " fld="4" baseField="0" baseItem="0"/>
  </dataFields>
  <chartFormats count="4">
    <chartFormat chart="3" format="6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6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7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68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7277B5-13FB-4F2B-A824-2F9FC62B945A}" name="Tab_Evolution_conso_tot_EAU(8)" cacheId="81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3">
  <location ref="A3:C8" firstHeaderRow="1" firstDataRow="2" firstDataCol="1"/>
  <pivotFields count="46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Fields count="1">
    <field x="44"/>
  </rowFields>
  <rowItems count="4">
    <i>
      <x/>
    </i>
    <i>
      <x v="1"/>
    </i>
    <i>
      <x v="2"/>
    </i>
    <i t="grand">
      <x/>
    </i>
  </rowItems>
  <colFields count="1">
    <field x="45"/>
  </colFields>
  <colItems count="2">
    <i>
      <x/>
    </i>
    <i t="grand">
      <x/>
    </i>
  </colItems>
  <dataFields count="1">
    <dataField name=" Totaal" fld="22" baseField="0" baseItem="0"/>
  </dataFields>
  <chartFormats count="1"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1E63A0-A78B-4D45-95CA-F1EF3EA25C0C}" name="Tab_histo_conso_postes_EAU(11)" cacheId="81" dataOnRows="1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3">
  <location ref="A3:C7" firstHeaderRow="1" firstDataRow="2" firstDataCol="1"/>
  <pivotFields count="46">
    <pivotField numFmtId="164"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Fields count="1">
    <field x="-2"/>
  </rowFields>
  <rowItems count="3">
    <i>
      <x/>
    </i>
    <i i="1">
      <x v="1"/>
    </i>
    <i i="2">
      <x v="2"/>
    </i>
  </rowItems>
  <colFields count="1">
    <field x="45"/>
  </colFields>
  <colItems count="2">
    <i>
      <x/>
    </i>
    <i t="grand">
      <x/>
    </i>
  </colItems>
  <dataFields count="3">
    <dataField name=" Item [1]" fld="2" baseField="0" baseItem="0"/>
    <dataField name=" Item [2]" fld="3" subtotal="count" baseField="0" baseItem="0"/>
    <dataField name=" Item [3]" fld="4" baseField="0" baseItem="0"/>
  </dataFields>
  <chartFormats count="2">
    <chartFormat chart="2" format="8" series="1">
      <pivotArea type="data" outline="0" fieldPosition="0">
        <references count="1">
          <reference field="45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E60A33-61B8-4C49-8B5E-8AABB672E07F}" name="Tab_histo_cout_conso_postes_EAU(12)" cacheId="81" dataOnRows="1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3">
  <location ref="A3:C7" firstHeaderRow="1" firstDataRow="2" firstDataCol="1"/>
  <pivotFields count="46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Fields count="1">
    <field x="-2"/>
  </rowFields>
  <rowItems count="3">
    <i>
      <x/>
    </i>
    <i i="1">
      <x v="1"/>
    </i>
    <i i="2">
      <x v="2"/>
    </i>
  </rowItems>
  <colFields count="1">
    <field x="45"/>
  </colFields>
  <colItems count="2">
    <i>
      <x/>
    </i>
    <i t="grand">
      <x/>
    </i>
  </colItems>
  <dataFields count="3">
    <dataField name=" Kost item [1]" fld="23" baseField="0" baseItem="0"/>
    <dataField name=" Kost item [2]" fld="24" baseField="0" baseItem="0"/>
    <dataField name=" Kost item [3]" fld="25" baseField="0" baseItem="0"/>
  </dataFields>
  <chartFormats count="1"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763840-912F-4BD8-904C-68DF4879FCC9}" name="Tab_evolution_conso_postes_EAU(13)" cacheId="81" applyNumberFormats="0" applyBorderFormats="0" applyFontFormats="0" applyPatternFormats="0" applyAlignmentFormats="0" applyWidthHeightFormats="1" dataCaption="Valeurs" updatedVersion="8" minRefreshableVersion="5" useAutoFormatting="1" itemPrintTitles="1" createdVersion="7" indent="0" outline="1" outlineData="1" multipleFieldFilters="0" chartFormat="3">
  <location ref="A3:G9" firstHeaderRow="1" firstDataRow="3" firstDataCol="1"/>
  <pivotFields count="46">
    <pivotField numFmtId="164" showAll="0">
      <items count="4">
        <item x="0"/>
        <item x="1"/>
        <item x="2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Fields count="1">
    <field x="44"/>
  </rowFields>
  <rowItems count="4">
    <i>
      <x/>
    </i>
    <i>
      <x v="1"/>
    </i>
    <i>
      <x v="2"/>
    </i>
    <i t="grand">
      <x/>
    </i>
  </rowItems>
  <colFields count="2">
    <field x="45"/>
    <field x="-2"/>
  </colFields>
  <colItems count="6">
    <i>
      <x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 Item [1]" fld="2" baseField="0" baseItem="0"/>
    <dataField name=" Item [2]" fld="3" subtotal="count" baseField="0" baseItem="0"/>
    <dataField name=" Item [3]" fld="4" subtotal="count" baseField="0" baseItem="0"/>
  </dataFields>
  <chartFormats count="4">
    <chartFormat chart="2" format="60" series="1">
      <pivotArea type="data" outline="0" fieldPosition="0">
        <references count="1">
          <reference field="45" count="1" selected="0">
            <x v="0"/>
          </reference>
        </references>
      </pivotArea>
    </chartFormat>
    <chartFormat chart="2" format="64" series="1">
      <pivotArea type="data" outline="0" fieldPosition="0">
        <references count="2">
          <reference field="4294967294" count="1" selected="0">
            <x v="1"/>
          </reference>
          <reference field="45" count="1" selected="0">
            <x v="0"/>
          </reference>
        </references>
      </pivotArea>
    </chartFormat>
    <chartFormat chart="2" format="65" series="1">
      <pivotArea type="data" outline="0" fieldPosition="0">
        <references count="2">
          <reference field="4294967294" count="1" selected="0">
            <x v="2"/>
          </reference>
          <reference field="45" count="1" selected="0">
            <x v="0"/>
          </reference>
        </references>
      </pivotArea>
    </chartFormat>
    <chartFormat chart="2" format="66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1E88AE-14E9-4B87-9939-0E4DB7B4AF6F}" name="Tab_secteur_conso_postes_EAU(14)" cacheId="81" dataOnRows="1" applyNumberFormats="0" applyBorderFormats="0" applyFontFormats="0" applyPatternFormats="0" applyAlignmentFormats="0" applyWidthHeightFormats="1" dataCaption="Valeurs" updatedVersion="8" minRefreshableVersion="5" useAutoFormatting="1" itemPrintTitles="1" createdVersion="7" indent="0" outline="1" outlineData="1" multipleFieldFilters="0" chartFormat="3">
  <location ref="A3:B6" firstHeaderRow="1" firstDataRow="1" firstDataCol="1"/>
  <pivotFields count="46">
    <pivotField numFmtId="164" showAll="0">
      <items count="4">
        <item x="0"/>
        <item x="1"/>
        <item x="2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3">
    <i>
      <x/>
    </i>
    <i i="1">
      <x v="1"/>
    </i>
    <i i="2">
      <x v="2"/>
    </i>
  </rowItems>
  <colItems count="1">
    <i/>
  </colItems>
  <dataFields count="3">
    <dataField name=" Item [1]" fld="2" baseField="0" baseItem="0"/>
    <dataField name=" Item [2]" fld="3" baseField="0" baseItem="0"/>
    <dataField name=" Item [3]" fld="4" baseField="0" baseItem="0"/>
  </dataFields>
  <chartFormats count="6">
    <chartFormat chart="2" format="6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6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66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7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68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4936FA-32DE-4293-9DEE-2CFB71B2DEBD}" name="Tab_histo_cout_conso_tot_GAZ(17)" cacheId="86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3">
  <location ref="A25:C27" firstHeaderRow="1" firstDataRow="2" firstDataCol="1"/>
  <pivotFields count="46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Items count="1">
    <i/>
  </rowItems>
  <colFields count="1">
    <field x="45"/>
  </colFields>
  <colItems count="2">
    <i>
      <x/>
    </i>
    <i t="grand">
      <x/>
    </i>
  </colItems>
  <dataFields count="1">
    <dataField name=" Totale Kosten" fld="43" baseField="0" baseItem="0"/>
  </dataFields>
  <chartFormats count="1"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599826-8C79-43ED-AC2F-666289066F82}" name="Tab_histo_conso_tot_GAZ(16)" cacheId="86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3">
  <location ref="A20:C22" firstHeaderRow="1" firstDataRow="2" firstDataCol="1"/>
  <pivotFields count="46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</pivotFields>
  <rowItems count="1">
    <i/>
  </rowItems>
  <colFields count="1">
    <field x="45"/>
  </colFields>
  <colItems count="2">
    <i>
      <x/>
    </i>
    <i t="grand">
      <x/>
    </i>
  </colItems>
  <dataFields count="1">
    <dataField name="Nombre de Totaal" fld="22" subtotal="count" baseField="0" baseItem="0"/>
  </dataFields>
  <chartFormats count="1"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45" count="1" selected="0">
            <x v="0"/>
          </reference>
        </references>
      </pivotArea>
    </chartFormat>
  </chart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AAND" xr10:uid="{336054A6-6656-4FBF-A699-AAF60FE62D3F}" sourceName="MAAND">
  <pivotTables>
    <pivotTable tabId="19" name="Tab_Evolution_conso_tot_EAU(8)"/>
    <pivotTable tabId="21" name="Tab_histo_conso_postes_EAU(11)"/>
    <pivotTable tabId="19" name="Tab_histo_conso_postes_EAU(10)"/>
    <pivotTable tabId="19" name="Tab_histo_conso_tot_EAU(9)"/>
    <pivotTable tabId="22" name="Tab_histo_cout_conso_postes_EAU(12)"/>
  </pivotTables>
  <data>
    <tabular pivotCacheId="1956454398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JAAR" xr10:uid="{830F4151-845B-4AC8-8D5A-5627EE673FBC}" sourceName="JAAR">
  <pivotTables>
    <pivotTable tabId="19" name="Tab_Evolution_conso_tot_EAU(8)"/>
    <pivotTable tabId="21" name="Tab_histo_conso_postes_EAU(11)"/>
    <pivotTable tabId="19" name="Tab_histo_conso_postes_EAU(10)"/>
    <pivotTable tabId="19" name="Tab_histo_conso_tot_EAU(9)"/>
    <pivotTable tabId="22" name="Tab_histo_cout_conso_postes_EAU(12)"/>
  </pivotTables>
  <data>
    <tabular pivotCacheId="1956454398">
      <items count="1"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AAND1" xr10:uid="{A8D0BFD7-10E2-4C65-A9B8-EDC0F8AAC93B}" sourceName="MAAND">
  <pivotTables>
    <pivotTable tabId="25" name="Tab_evolution_conso_tot_GAZ(15)"/>
    <pivotTable tabId="26" name="Tab_histo_conso_postes_GAZ(18)"/>
    <pivotTable tabId="25" name="Tab_histo_conso_tot_GAZ(16)"/>
    <pivotTable tabId="25" name="Tab_histo_cout_conso_tot_GAZ(17)"/>
    <pivotTable tabId="27" name="Tab_histo_cout_conso_postes_GAZ(19)"/>
  </pivotTables>
  <data>
    <tabular pivotCacheId="1334326007">
      <items count="3">
        <i x="0" s="1"/>
        <i x="1" s="1"/>
        <i x="2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JAAR1" xr10:uid="{E285A746-0EE2-415A-A510-BBD4D9C034E6}" sourceName="JAAR">
  <pivotTables>
    <pivotTable tabId="25" name="Tab_evolution_conso_tot_GAZ(15)"/>
    <pivotTable tabId="26" name="Tab_histo_conso_postes_GAZ(18)"/>
    <pivotTable tabId="25" name="Tab_histo_conso_tot_GAZ(16)"/>
    <pivotTable tabId="25" name="Tab_histo_cout_conso_tot_GAZ(17)"/>
    <pivotTable tabId="27" name="Tab_histo_cout_conso_postes_GAZ(19)"/>
  </pivotTables>
  <data>
    <tabular pivotCacheId="1334326007">
      <items count="1"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AAND2" xr10:uid="{0EF8803B-9778-4FC6-A170-A36C6D0CE85D}" sourceName="MAAND">
  <pivotTables>
    <pivotTable tabId="14" name="Tab_Evolution_Conso_tot_ELEC(1)"/>
    <pivotTable tabId="15" name="Tab_histo_conso_postes_ELEC(4)"/>
    <pivotTable tabId="14" name="Tab_histo_Conso_Tot_ELEC(2)"/>
    <pivotTable tabId="14" name="Tab_histo_Cout_Conso_Tot_ELEC(3)"/>
    <pivotTable tabId="16" name="Tab_histo_cout_conso_postes_ELEC(5)"/>
  </pivotTables>
  <data>
    <tabular pivotCacheId="225776657">
      <items count="3">
        <i x="0" s="1"/>
        <i x="1" s="1"/>
        <i x="2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JAAR2" xr10:uid="{274E52C9-F0AB-416E-9F07-26C86691B54D}" sourceName="JAAR">
  <pivotTables>
    <pivotTable tabId="14" name="Tab_Evolution_Conso_tot_ELEC(1)"/>
    <pivotTable tabId="15" name="Tab_histo_conso_postes_ELEC(4)"/>
    <pivotTable tabId="14" name="Tab_histo_Conso_Tot_ELEC(2)"/>
    <pivotTable tabId="14" name="Tab_histo_Cout_Conso_Tot_ELEC(3)"/>
    <pivotTable tabId="16" name="Tab_histo_cout_conso_postes_ELEC(5)"/>
  </pivotTables>
  <data>
    <tabular pivotCacheId="225776657">
      <items count="1"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AAND 2" xr10:uid="{A045C035-DC64-40D7-AF75-559EEFD2857E}" cache="Segment_MAAND2" caption="MAAND" style="SlicerStyleDark4" lockedPosition="1" rowHeight="234950"/>
  <slicer name="JAAR 2" xr10:uid="{298613A8-E5EA-412C-8678-EE167A104091}" cache="Segment_JAAR2" caption="JAAR" style="SlicerStyleDark4" lockedPosition="1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AAND 1" xr10:uid="{62D97247-AE38-4E55-9031-F0B23652D964}" cache="Segment_MAAND1" caption="MAAND" style="SlicerStyleDark2" lockedPosition="1" rowHeight="234950"/>
  <slicer name="JAAR 1" xr10:uid="{6336CEA8-1D9E-4FC3-BF7E-09F927727D7E}" cache="Segment_JAAR1" caption="JAAR" style="SlicerStyleDark2" lockedPosition="1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AAND" xr10:uid="{CE795E15-704B-4D18-AA8F-7D2DD7E342F3}" cache="Segment_MAAND" caption="MAAND" style="SlicerStyleDark1" lockedPosition="1" rowHeight="234950"/>
  <slicer name="JAAR" xr10:uid="{145D4078-F5E6-46BA-B89A-85F75873DC76}" cache="Segment_JAAR" caption="JAAR" style="SlicerStyleDark1" lockedPosition="1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F1E69E6-F29E-4022-AD0D-EEF329D72829}" name="Tableau_donnees_eau" displayName="Tableau_donnees_eau" ref="A16:AT19" totalsRowShown="0" headerRowDxfId="151" dataDxfId="150">
  <autoFilter ref="A16:AT19" xr:uid="{A6C78F51-7323-4441-9814-262BF7841DBB}"/>
  <tableColumns count="46">
    <tableColumn id="1" xr3:uid="{668A0069-4B3B-4D2B-9B00-D940EFD0CAE2}" name="Mannd/Jaar " dataDxfId="149"/>
    <tableColumn id="2" xr3:uid="{E49729A0-53E6-4568-9E6F-C6F59EE036DC}" name="Commentaar" dataDxfId="148"/>
    <tableColumn id="3" xr3:uid="{39B442C8-ECF2-4BA6-94D5-CCF07D49C4E1}" name="Item [1]" dataDxfId="147"/>
    <tableColumn id="4" xr3:uid="{87D78075-C185-4592-B13C-61CD183A7E85}" name="Item [2]" dataDxfId="146"/>
    <tableColumn id="5" xr3:uid="{F1362F29-9E68-4340-BBA2-6B7FC11B9A86}" name="Item [3]" dataDxfId="145"/>
    <tableColumn id="6" xr3:uid="{5A8D5BB6-CC5E-45B2-88D6-7ED1DEB2AC7D}" name="Item [4]" dataDxfId="144"/>
    <tableColumn id="7" xr3:uid="{AFCD2518-0429-4678-A970-26A892A48AA5}" name="Item [5]" dataDxfId="143"/>
    <tableColumn id="8" xr3:uid="{BB9B1400-0C84-4B19-9EB8-1E4965E0881D}" name="Item [6]" dataDxfId="142"/>
    <tableColumn id="9" xr3:uid="{346AD33D-DE2A-4B0E-8AD8-CB2D5C35354C}" name="Item [7]" dataDxfId="141"/>
    <tableColumn id="10" xr3:uid="{577FD114-AE4C-4D36-9887-CB5FDBC707DB}" name="Item [8]" dataDxfId="140"/>
    <tableColumn id="11" xr3:uid="{731E17DB-FBDF-4CAC-972A-8B09DAD6EE8A}" name="Item [9]" dataDxfId="139"/>
    <tableColumn id="12" xr3:uid="{EC14C5E4-226A-4B86-853F-20DF8A05BEDD}" name="Item [10]" dataDxfId="138"/>
    <tableColumn id="13" xr3:uid="{95D56638-7725-4685-9BED-ABF6E39FBD32}" name="Item [11]" dataDxfId="137"/>
    <tableColumn id="14" xr3:uid="{EA0E9D39-0475-4FB2-BB0F-3176541AE18F}" name="Item [12]" dataDxfId="136"/>
    <tableColumn id="15" xr3:uid="{9F91163D-7A87-4C45-B8F7-1106FFD9287B}" name="Item [13]" dataDxfId="135"/>
    <tableColumn id="16" xr3:uid="{CA6C9030-7928-4F8F-87CD-03F2D82DB1AF}" name="Item [14]" dataDxfId="134"/>
    <tableColumn id="17" xr3:uid="{AE344B46-3BC3-4187-BF9B-6DFE45ABFADA}" name="Item [15]" dataDxfId="133"/>
    <tableColumn id="18" xr3:uid="{3F018844-CA59-447B-88A2-A72A43CE7051}" name="Item [16]" dataDxfId="132"/>
    <tableColumn id="19" xr3:uid="{B821A163-EDD7-4DF1-9FC0-B96E799C542C}" name="Item [17]" dataDxfId="131"/>
    <tableColumn id="20" xr3:uid="{4396099A-6BE1-48AA-A859-7BF09D2A2BDA}" name="Item [18]" dataDxfId="130"/>
    <tableColumn id="21" xr3:uid="{24B36551-84DF-4EA2-922E-762B6474F3A0}" name="Item [19]" dataDxfId="129"/>
    <tableColumn id="22" xr3:uid="{B97CEC9C-3746-4B16-A87C-FEE0495FDC3C}" name="Item [20]" dataDxfId="128"/>
    <tableColumn id="23" xr3:uid="{EE3F2426-A95C-4BCE-9BB3-B4B3929F73A3}" name="Totaal" dataDxfId="127"/>
    <tableColumn id="24" xr3:uid="{C17A3E67-3700-43A5-BB8F-06B0BE9B46A6}" name="Kost item [1]" dataDxfId="126">
      <calculatedColumnFormula>VLOOKUP(Tableau_donnees_eau[[#This Row],[JAAR]],Tableau6[],3,FALSE)*Tableau_donnees_eau[[#This Row],[Item '[1']]]</calculatedColumnFormula>
    </tableColumn>
    <tableColumn id="25" xr3:uid="{310A0DF5-0191-418C-AE68-5C08193EFB3E}" name="Kost item [2]" dataDxfId="125">
      <calculatedColumnFormula>VLOOKUP(Tableau_donnees_eau[[#This Row],[JAAR]],Tableau6[],3,FALSE)*Tableau_donnees_eau[[#This Row],[Item '[2']]]</calculatedColumnFormula>
    </tableColumn>
    <tableColumn id="26" xr3:uid="{60B355AC-6440-4CE4-ACFD-5488CCC0CF6F}" name="Kost item [3]" dataDxfId="124">
      <calculatedColumnFormula>VLOOKUP(Tableau_donnees_eau[[#This Row],[JAAR]],Tableau6[],3,FALSE)*Tableau_donnees_eau[[#This Row],[Item '[3']]]</calculatedColumnFormula>
    </tableColumn>
    <tableColumn id="27" xr3:uid="{2E97E6F5-4032-4E75-B8CC-07441E258317}" name="Kost item [4]" dataDxfId="123">
      <calculatedColumnFormula>VLOOKUP(Tableau_donnees_eau[[#This Row],[JAAR]],Tableau6[],3,FALSE)*Tableau_donnees_eau[[#This Row],[Item '[4']]]</calculatedColumnFormula>
    </tableColumn>
    <tableColumn id="28" xr3:uid="{F1431068-81BB-47AA-A430-4105CC097F5B}" name="Kost item [5]" dataDxfId="122">
      <calculatedColumnFormula>VLOOKUP(Tableau_donnees_eau[[#This Row],[JAAR]],Tableau6[],3,FALSE)*Tableau_donnees_eau[[#This Row],[Item '[4']]]</calculatedColumnFormula>
    </tableColumn>
    <tableColumn id="29" xr3:uid="{4639F938-FD8C-4BDC-B281-16927C583F3E}" name="Kost item [6]" dataDxfId="121">
      <calculatedColumnFormula>VLOOKUP(Tableau_donnees_eau[[#This Row],[JAAR]],Tableau6[],3,FALSE)*Tableau_donnees_eau[[#This Row],[Item '[6']]]</calculatedColumnFormula>
    </tableColumn>
    <tableColumn id="30" xr3:uid="{46B516B7-6FB2-4892-B997-267F90CEEF31}" name="Kost item [7]" dataDxfId="120">
      <calculatedColumnFormula>VLOOKUP(Tableau_donnees_eau[[#This Row],[JAAR]],Tableau6[],3,FALSE)*Tableau_donnees_eau[[#This Row],[Item '[7']]]</calculatedColumnFormula>
    </tableColumn>
    <tableColumn id="31" xr3:uid="{181B5A4E-D6CC-456D-8740-79382D7CD1CD}" name="Kost item [8]" dataDxfId="119">
      <calculatedColumnFormula>VLOOKUP(Tableau_donnees_eau[[#This Row],[JAAR]],Tableau6[],3,FALSE)*Tableau_donnees_eau[[#This Row],[Item '[8']]]</calculatedColumnFormula>
    </tableColumn>
    <tableColumn id="32" xr3:uid="{5B2F3C02-8359-44B4-9AB7-AB9E9C0E7D46}" name="Kost item [9]" dataDxfId="118">
      <calculatedColumnFormula>VLOOKUP(Tableau_donnees_eau[[#This Row],[JAAR]],Tableau6[],3,FALSE)*Tableau_donnees_eau[[#This Row],[Item '[9']]]</calculatedColumnFormula>
    </tableColumn>
    <tableColumn id="33" xr3:uid="{6BC1D5B3-D647-4122-BC3A-2EA2515404D1}" name="Kost item [10]" dataDxfId="117">
      <calculatedColumnFormula>VLOOKUP(Tableau_donnees_eau[[#This Row],[JAAR]],Tableau6[],3,FALSE)*Tableau_donnees_eau[[#This Row],[Item '[10']]]</calculatedColumnFormula>
    </tableColumn>
    <tableColumn id="34" xr3:uid="{A15B8B2C-9FB0-415F-8FDF-823846CEF06A}" name="Kost item [11]" dataDxfId="116">
      <calculatedColumnFormula>VLOOKUP(Tableau_donnees_eau[[#This Row],[JAAR]],Tableau6[],3,FALSE)*Tableau_donnees_eau[[#This Row],[Item '[11']]]</calculatedColumnFormula>
    </tableColumn>
    <tableColumn id="35" xr3:uid="{E6A512E4-C3A5-4B86-A530-BDF4E2E235F7}" name="Kost item [12]" dataDxfId="115">
      <calculatedColumnFormula>VLOOKUP(Tableau_donnees_eau[[#This Row],[JAAR]],Tableau6[],3,FALSE)*Tableau_donnees_eau[[#This Row],[Item '[12']]]</calculatedColumnFormula>
    </tableColumn>
    <tableColumn id="36" xr3:uid="{4A5F66B7-D704-4F5C-9F8B-0FB8BBFBDAF4}" name="Kost item [13]" dataDxfId="114">
      <calculatedColumnFormula>VLOOKUP(Tableau_donnees_eau[[#This Row],[JAAR]],Tableau6[],3,FALSE)*Tableau_donnees_eau[[#This Row],[Item '[13']]]</calculatedColumnFormula>
    </tableColumn>
    <tableColumn id="37" xr3:uid="{CD7C1D39-CF23-4222-A9AE-7244AD981DDC}" name="Kost item [14]" dataDxfId="113">
      <calculatedColumnFormula>VLOOKUP(Tableau_donnees_eau[[#This Row],[JAAR]],Tableau6[],3,FALSE)*Tableau_donnees_eau[[#This Row],[Item '[14']]]</calculatedColumnFormula>
    </tableColumn>
    <tableColumn id="38" xr3:uid="{630A7BEB-94E0-439F-8962-A9786E333BDC}" name="Kost item [15]" dataDxfId="112">
      <calculatedColumnFormula>VLOOKUP(Tableau_donnees_eau[[#This Row],[JAAR]],Tableau6[],3,FALSE)*Tableau_donnees_eau[[#This Row],[Item '[15']]]</calculatedColumnFormula>
    </tableColumn>
    <tableColumn id="39" xr3:uid="{6E3C7A3A-6E5F-4026-B1C2-0D7FACF33BBE}" name="Kost item [16]" dataDxfId="111">
      <calculatedColumnFormula>VLOOKUP(Tableau_donnees_eau[[#This Row],[JAAR]],Tableau6[],3,FALSE)*Tableau_donnees_eau[[#This Row],[Item '[16']]]</calculatedColumnFormula>
    </tableColumn>
    <tableColumn id="40" xr3:uid="{41EBC838-AF7A-4DFC-B68C-0DBBB1D3B06C}" name="Kost item [17]" dataDxfId="110">
      <calculatedColumnFormula>VLOOKUP(Tableau_donnees_eau[[#This Row],[JAAR]],Tableau6[],3,FALSE)*Tableau_donnees_eau[[#This Row],[Item '[17']]]</calculatedColumnFormula>
    </tableColumn>
    <tableColumn id="41" xr3:uid="{D575385E-5A7D-4296-BC0B-3A5360A94818}" name="Kost item [18]" dataDxfId="109">
      <calculatedColumnFormula>VLOOKUP(Tableau_donnees_eau[[#This Row],[JAAR]],Tableau6[],3,FALSE)*Tableau_donnees_eau[[#This Row],[Item '[18']]]</calculatedColumnFormula>
    </tableColumn>
    <tableColumn id="42" xr3:uid="{08AEAF9D-4825-4509-99D4-552ADABC632F}" name="Kost item [19]" dataDxfId="108">
      <calculatedColumnFormula>VLOOKUP(Tableau_donnees_eau[[#This Row],[JAAR]],Tableau6[],3,FALSE)*Tableau_donnees_eau[[#This Row],[Item '[19']]]</calculatedColumnFormula>
    </tableColumn>
    <tableColumn id="43" xr3:uid="{8E43A15C-D54B-4B90-9530-84CC8C32F144}" name="Kost item [20]" dataDxfId="107">
      <calculatedColumnFormula>VLOOKUP(Tableau_donnees_eau[[#This Row],[JAAR]],Tableau6[],3,FALSE)*Tableau_donnees_eau[[#This Row],[Item '[20']]]</calculatedColumnFormula>
    </tableColumn>
    <tableColumn id="44" xr3:uid="{D185ACF7-9669-4CFA-A775-42BA06F0C66F}" name="Totale Kosten" dataDxfId="106">
      <calculatedColumnFormula>VLOOKUP(Tableau_donnees_eau[[#This Row],[JAAR]],Tableau6[],3,FALSE)*Tableau_donnees_eau[[#This Row],[Totaal]]</calculatedColumnFormula>
    </tableColumn>
    <tableColumn id="45" xr3:uid="{74D267D4-2E30-4CD0-B292-AAE5FED37C6B}" name="MAAND" dataDxfId="105">
      <calculatedColumnFormula>TEXT(Tableau_donnees_eau[[#This Row],[Mannd/Jaar ]],"mmmm")</calculatedColumnFormula>
    </tableColumn>
    <tableColumn id="46" xr3:uid="{355D7247-D244-4982-9199-DDDFC9B2D472}" name="JAAR" dataDxfId="104">
      <calculatedColumnFormula>YEAR(Tableau_donnees_eau[[#This Row],[Mannd/Jaar 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8F49F11-46DB-4F62-AD75-FC17A1B34F4B}" name="Tableau_donnes_gaz" displayName="Tableau_donnes_gaz" ref="A16:AT19" totalsRowShown="0" headerRowDxfId="103" dataDxfId="102">
  <autoFilter ref="A16:AT19" xr:uid="{A6C78F51-7323-4441-9814-262BF7841DBB}"/>
  <tableColumns count="46">
    <tableColumn id="1" xr3:uid="{E8B788C7-7652-423A-BA75-FB6A8DEF2ABA}" name="Mannd/Jaar" dataDxfId="101"/>
    <tableColumn id="2" xr3:uid="{9D1994A7-88D2-4B79-89D9-03ED2001F0E8}" name="Commentaar" dataDxfId="100"/>
    <tableColumn id="3" xr3:uid="{C0092861-81B0-469F-B9FF-07220918DA3D}" name="Item [1]" dataDxfId="99"/>
    <tableColumn id="4" xr3:uid="{238BBA01-8FA7-4B2B-9382-8FEAC51E40B5}" name="Item [2]" dataDxfId="98"/>
    <tableColumn id="5" xr3:uid="{DFCB7EA7-FB01-4098-95C1-AEF639CF9B64}" name="Item [3]" dataDxfId="97"/>
    <tableColumn id="6" xr3:uid="{C1CC8EC3-31A6-4DC8-95B0-099BAAC17EB8}" name="Item [4]" dataDxfId="96"/>
    <tableColumn id="7" xr3:uid="{6ABE42A4-37BD-4C43-A2EE-982BCF0034B3}" name="Item [5]" dataDxfId="95"/>
    <tableColumn id="8" xr3:uid="{A3BA34B3-4B0D-453B-9AA3-58A712E498A1}" name="Item [6]" dataDxfId="94"/>
    <tableColumn id="9" xr3:uid="{2C4EDDDB-47EE-4D53-B6C8-C873A57F679F}" name="Item [7]" dataDxfId="93"/>
    <tableColumn id="10" xr3:uid="{969A089D-8DB4-4FF6-BEEA-3890F3D2AA03}" name="Item [8]" dataDxfId="92"/>
    <tableColumn id="11" xr3:uid="{E159CEBA-ED38-49B7-8411-A58F9773F1E4}" name="Item [9]" dataDxfId="91"/>
    <tableColumn id="12" xr3:uid="{F831A1EE-869C-4B87-82B6-CB992946788E}" name="Item [10]" dataDxfId="90"/>
    <tableColumn id="13" xr3:uid="{5B73C427-AE1F-46B6-8144-D37208124E12}" name="Item [11]" dataDxfId="89"/>
    <tableColumn id="14" xr3:uid="{FB7D66E0-F327-4CF7-B6A1-5EDA50A59FE4}" name="Item [12]" dataDxfId="88"/>
    <tableColumn id="15" xr3:uid="{BDE4EAEE-A2F6-4CC3-A3A0-6C54778C0829}" name="Item [13]" dataDxfId="87"/>
    <tableColumn id="16" xr3:uid="{6D31DAC7-EA92-4C16-9CBE-5A483DBE7AAE}" name="Item [14]" dataDxfId="86"/>
    <tableColumn id="17" xr3:uid="{7A1DBF3A-2B2E-4A28-8334-F3BC40404048}" name="Item [15]" dataDxfId="85"/>
    <tableColumn id="18" xr3:uid="{482FD25F-5D7D-4242-9CB9-B249CF7D5E77}" name="Item [16]" dataDxfId="84"/>
    <tableColumn id="19" xr3:uid="{1B831ACC-938F-4391-8D04-86B62714104C}" name="Item [17]" dataDxfId="83"/>
    <tableColumn id="20" xr3:uid="{CDC71CAE-88F2-4239-BC5D-5EE0DBCC24C0}" name="Item [18]" dataDxfId="82"/>
    <tableColumn id="21" xr3:uid="{AB36C5D8-5BA8-480C-AF3C-1665E57DF339}" name="Item [19]" dataDxfId="81"/>
    <tableColumn id="22" xr3:uid="{CDE02C82-8813-4505-BE7E-73F9D3A7BFCF}" name="Item [20]" dataDxfId="80"/>
    <tableColumn id="23" xr3:uid="{9C0FF4F3-1343-473A-865A-9E7D925FB794}" name="Totaal" dataDxfId="79">
      <calculatedColumnFormula>SUM(Tableau_donnes_gaz[[#This Row],[Item '[1']]:[Item '[20']]])</calculatedColumnFormula>
    </tableColumn>
    <tableColumn id="24" xr3:uid="{AECEB9D3-A238-4B6A-B014-E8BD079CB37B}" name="Kost item [1]" dataDxfId="78">
      <calculatedColumnFormula>VLOOKUP(Tableau_donnes_gaz[[#This Row],[JAAR]],Tableau6[],4,FALSE)*Tableau_donnes_gaz[[#This Row],[Item '[1']]]</calculatedColumnFormula>
    </tableColumn>
    <tableColumn id="25" xr3:uid="{9E4FC150-BB62-47E8-8596-1769ED48C7EA}" name="Kost item [2]" dataDxfId="77">
      <calculatedColumnFormula>VLOOKUP(Tableau_donnes_gaz[[#This Row],[JAAR]],Tableau6[],4,FALSE)*Tableau_donnes_gaz[[#This Row],[Item '[2']]]</calculatedColumnFormula>
    </tableColumn>
    <tableColumn id="26" xr3:uid="{94385FEE-DCE5-40D8-8C91-B4072137720E}" name="Kost item [3]" dataDxfId="76">
      <calculatedColumnFormula>VLOOKUP(Tableau_donnes_gaz[[#This Row],[JAAR]],Tableau6[],4,FALSE)*Tableau_donnes_gaz[[#This Row],[Item '[3']]]</calculatedColumnFormula>
    </tableColumn>
    <tableColumn id="27" xr3:uid="{3D6083CD-46E8-4FF8-BC3B-8771F2889616}" name="Kost item [4]" dataDxfId="75">
      <calculatedColumnFormula>VLOOKUP(Tableau_donnes_gaz[[#This Row],[JAAR]],Tableau6[],4,FALSE)*Tableau_donnes_gaz[[#This Row],[Item '[4']]]</calculatedColumnFormula>
    </tableColumn>
    <tableColumn id="28" xr3:uid="{8EC6ED63-418F-49C5-B68B-A56A0868A160}" name="Kost item [5]" dataDxfId="74">
      <calculatedColumnFormula>VLOOKUP(Tableau_donnes_gaz[[#This Row],[JAAR]],Tableau6[],4,FALSE)*Tableau_donnes_gaz[[#This Row],[Item '[4']]]</calculatedColumnFormula>
    </tableColumn>
    <tableColumn id="29" xr3:uid="{14BFDF31-2EF5-47EC-A46C-C22981E80BA1}" name="Kost item [6]" dataDxfId="73">
      <calculatedColumnFormula>VLOOKUP(Tableau_donnes_gaz[[#This Row],[JAAR]],Tableau6[],4,FALSE)*Tableau_donnes_gaz[[#This Row],[Item '[6']]]</calculatedColumnFormula>
    </tableColumn>
    <tableColumn id="30" xr3:uid="{EF790E31-85A8-4D41-B135-F8DB810DC9A8}" name="Kost item [7]" dataDxfId="72">
      <calculatedColumnFormula>VLOOKUP(Tableau_donnes_gaz[[#This Row],[JAAR]],Tableau6[],4,FALSE)*Tableau_donnes_gaz[[#This Row],[Item '[7']]]</calculatedColumnFormula>
    </tableColumn>
    <tableColumn id="31" xr3:uid="{AB5E5744-E97C-4336-B671-1F5EDB59499B}" name="Kost item [8]" dataDxfId="71">
      <calculatedColumnFormula>VLOOKUP(Tableau_donnes_gaz[[#This Row],[JAAR]],Tableau6[],4,FALSE)*Tableau_donnes_gaz[[#This Row],[Item '[8']]]</calculatedColumnFormula>
    </tableColumn>
    <tableColumn id="32" xr3:uid="{2ACE6025-BDC1-40E8-B5C2-0CEDB4214958}" name="Kost item [9]" dataDxfId="70">
      <calculatedColumnFormula>VLOOKUP(Tableau_donnes_gaz[[#This Row],[JAAR]],Tableau6[],4,FALSE)*Tableau_donnes_gaz[[#This Row],[Item '[9']]]</calculatedColumnFormula>
    </tableColumn>
    <tableColumn id="33" xr3:uid="{100740F7-F202-41DC-8CC3-34DAFF5788C7}" name="Kost item [10]" dataDxfId="69">
      <calculatedColumnFormula>VLOOKUP(Tableau_donnes_gaz[[#This Row],[JAAR]],Tableau6[],4,FALSE)*Tableau_donnes_gaz[[#This Row],[Item '[10']]]</calculatedColumnFormula>
    </tableColumn>
    <tableColumn id="34" xr3:uid="{C40BD6A8-FA53-482F-8447-CD0EDBBD9C0D}" name="Kost item [11]" dataDxfId="68">
      <calculatedColumnFormula>VLOOKUP(Tableau_donnes_gaz[[#This Row],[JAAR]],Tableau6[],4,FALSE)*Tableau_donnes_gaz[[#This Row],[Item '[11']]]</calculatedColumnFormula>
    </tableColumn>
    <tableColumn id="35" xr3:uid="{A59848EB-345F-489F-B5DF-8936D315864C}" name="Kost item [12]" dataDxfId="67">
      <calculatedColumnFormula>VLOOKUP(Tableau_donnes_gaz[[#This Row],[JAAR]],Tableau6[],4,FALSE)*Tableau_donnes_gaz[[#This Row],[Item '[12']]]</calculatedColumnFormula>
    </tableColumn>
    <tableColumn id="36" xr3:uid="{2114FE9A-C3EB-4A49-A501-F72AB7A34C84}" name="Kost item [13]" dataDxfId="66">
      <calculatedColumnFormula>VLOOKUP(Tableau_donnes_gaz[[#This Row],[JAAR]],Tableau6[],4,FALSE)*Tableau_donnes_gaz[[#This Row],[Item '[13']]]</calculatedColumnFormula>
    </tableColumn>
    <tableColumn id="37" xr3:uid="{001BB4CE-35AE-4626-8719-533BBB60806D}" name="Kost item [14]" dataDxfId="65">
      <calculatedColumnFormula>VLOOKUP(Tableau_donnes_gaz[[#This Row],[JAAR]],Tableau6[],4,FALSE)*Tableau_donnes_gaz[[#This Row],[Item '[14']]]</calculatedColumnFormula>
    </tableColumn>
    <tableColumn id="38" xr3:uid="{5E781921-D577-472B-ABBA-3ABDA07F3463}" name="Kost item [15]" dataDxfId="64">
      <calculatedColumnFormula>VLOOKUP(Tableau_donnes_gaz[[#This Row],[JAAR]],Tableau6[],4,FALSE)*Tableau_donnes_gaz[[#This Row],[Item '[15']]]</calculatedColumnFormula>
    </tableColumn>
    <tableColumn id="39" xr3:uid="{BBE2FDBE-D8C2-4EFD-9233-C16E736FBF0E}" name="Kost item [16]" dataDxfId="63">
      <calculatedColumnFormula>VLOOKUP(Tableau_donnes_gaz[[#This Row],[JAAR]],Tableau6[],4,FALSE)*Tableau_donnes_gaz[[#This Row],[Item '[16']]]</calculatedColumnFormula>
    </tableColumn>
    <tableColumn id="40" xr3:uid="{44A63208-1054-4235-94D1-B08A79214DD2}" name="Kost item [17]" dataDxfId="62">
      <calculatedColumnFormula>VLOOKUP(Tableau_donnes_gaz[[#This Row],[JAAR]],Tableau6[],4,FALSE)*Tableau_donnes_gaz[[#This Row],[Item '[17']]]</calculatedColumnFormula>
    </tableColumn>
    <tableColumn id="41" xr3:uid="{136F7EBE-27D7-454C-9B70-2FE06F6EF719}" name="Kost item [18]" dataDxfId="61">
      <calculatedColumnFormula>VLOOKUP(Tableau_donnes_gaz[[#This Row],[JAAR]],Tableau6[],4,FALSE)*Tableau_donnes_gaz[[#This Row],[Item '[18']]]</calculatedColumnFormula>
    </tableColumn>
    <tableColumn id="42" xr3:uid="{226FAA7F-236F-499A-A045-3C85BDCEDAC7}" name="Kost item [19]" dataDxfId="60">
      <calculatedColumnFormula>VLOOKUP(Tableau_donnes_gaz[[#This Row],[JAAR]],Tableau6[],4,FALSE)*Tableau_donnes_gaz[[#This Row],[Item '[19']]]</calculatedColumnFormula>
    </tableColumn>
    <tableColumn id="43" xr3:uid="{8F4C7214-E717-4813-86B0-1B83B196DB31}" name="Kost item [20]" dataDxfId="59">
      <calculatedColumnFormula>VLOOKUP(Tableau_donnes_gaz[[#This Row],[JAAR]],Tableau6[],4,FALSE)*Tableau_donnes_gaz[[#This Row],[Item '[20']]]</calculatedColumnFormula>
    </tableColumn>
    <tableColumn id="44" xr3:uid="{ECA3484E-0289-4AEB-803C-EB0DD3FE2428}" name="Totale Kosten" dataDxfId="58">
      <calculatedColumnFormula>VLOOKUP(Tableau_donnes_gaz[[#This Row],[JAAR]],Tableau6[],4,FALSE)*Tableau_donnes_gaz[[#This Row],[Totaal]]</calculatedColumnFormula>
    </tableColumn>
    <tableColumn id="45" xr3:uid="{C06EF821-C90E-405A-8E5D-C01BA96877E1}" name="MAAND" dataDxfId="57">
      <calculatedColumnFormula>TEXT(Tableau_donnes_gaz[[#This Row],[Mannd/Jaar]],"mmmm")</calculatedColumnFormula>
    </tableColumn>
    <tableColumn id="46" xr3:uid="{50566305-F20B-40BB-9687-F45F4DB6337E}" name="JAAR" dataDxfId="56">
      <calculatedColumnFormula>YEAR(Tableau_donnes_gaz[[#This Row],[Mannd/Jaar]])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6C78F51-7323-4441-9814-262BF7841DBB}" name="Tableau_donnees_elec" displayName="Tableau_donnees_elec" ref="A16:AT19" totalsRowShown="0" headerRowDxfId="55" dataDxfId="54">
  <autoFilter ref="A16:AT19" xr:uid="{A6C78F51-7323-4441-9814-262BF7841DBB}"/>
  <tableColumns count="46">
    <tableColumn id="1" xr3:uid="{6D499565-D9C4-4CED-8A79-BF75C0507B84}" name="Maand/Jaar" dataDxfId="53"/>
    <tableColumn id="2" xr3:uid="{55EE4178-3F48-4184-96F1-E88607D97B43}" name="Commentaar" dataDxfId="52"/>
    <tableColumn id="3" xr3:uid="{2F65D68D-C213-43D9-892F-F5CE35BC9BEB}" name="Item [1]" dataDxfId="51"/>
    <tableColumn id="4" xr3:uid="{31B95E6A-49DB-47C6-81CA-9808E7949965}" name="Item [2]" dataDxfId="50"/>
    <tableColumn id="5" xr3:uid="{D0F56C52-C2E8-47A6-8577-4FB33D58A4F3}" name="Item [3] " dataDxfId="49"/>
    <tableColumn id="6" xr3:uid="{68688D25-6CA2-44C3-8F47-693BC79FF85A}" name="Item [4] " dataDxfId="48"/>
    <tableColumn id="7" xr3:uid="{9BEB51C6-14AB-49AE-A94B-873C58E97393}" name="Item [5]" dataDxfId="47"/>
    <tableColumn id="8" xr3:uid="{5A4B3320-CF46-4A28-9DED-016135EE0D8B}" name="Item [6]" dataDxfId="46"/>
    <tableColumn id="9" xr3:uid="{0190033D-2586-42A8-927B-2C07862A9479}" name="Item [7] " dataDxfId="45"/>
    <tableColumn id="10" xr3:uid="{655F434B-B9EA-41E0-95F2-94BA97155470}" name="Item [8]" dataDxfId="44"/>
    <tableColumn id="11" xr3:uid="{3D0FA74B-695E-45C4-9E89-E98B76E6632C}" name="Item [9]" dataDxfId="43"/>
    <tableColumn id="12" xr3:uid="{3A6EAB00-9144-4A4E-ABB5-4F21F9D8BEA9}" name="Item [10]" dataDxfId="42"/>
    <tableColumn id="13" xr3:uid="{8023100F-0A61-4A25-BCA3-6DC79E370E32}" name="Item [11]" dataDxfId="41"/>
    <tableColumn id="14" xr3:uid="{56FDE849-1F24-4B28-82DE-CD0E40BA27C1}" name="Item [12]" dataDxfId="40"/>
    <tableColumn id="15" xr3:uid="{EFAC5D5A-43FD-425C-B045-9446E4BC0B88}" name="Item [13]" dataDxfId="39"/>
    <tableColumn id="16" xr3:uid="{DE8EB3C2-052C-4DC2-AD62-E0ACD05FA95F}" name="Item [14]" dataDxfId="38"/>
    <tableColumn id="17" xr3:uid="{0BF22056-D7FB-46E6-8AB2-0A501EEE92CD}" name="Item [15]" dataDxfId="37"/>
    <tableColumn id="18" xr3:uid="{7683F7D9-E387-4C50-BD50-409610B6B7CB}" name="Item [16]" dataDxfId="36"/>
    <tableColumn id="19" xr3:uid="{9EB9E238-1488-4B72-A417-AAEA7BF34F69}" name="Item [17]" dataDxfId="35"/>
    <tableColumn id="20" xr3:uid="{87F5454D-AFB0-4A04-BC79-5849D26AFC10}" name="Item [18]" dataDxfId="34"/>
    <tableColumn id="21" xr3:uid="{C65DB896-2654-4773-BDAA-1871C6D6B939}" name="Item [19]" dataDxfId="33"/>
    <tableColumn id="22" xr3:uid="{3D1480C1-9E02-4EB1-9E73-899B92D3C395}" name="Item [20]" dataDxfId="32"/>
    <tableColumn id="23" xr3:uid="{DD6A43E5-2531-44AC-BE9E-F9E3A96CAE22}" name="Totaal" dataDxfId="31"/>
    <tableColumn id="24" xr3:uid="{0E10A89A-0B5B-4245-879C-9ED11D61E610}" name="Kost Item [1]" dataDxfId="30">
      <calculatedColumnFormula>VLOOKUP(Tableau_donnees_elec[[#This Row],[JAAR]],Tableau6[],2,FALSE)*Tableau_donnees_elec[[#This Row],[Item '[1']]]</calculatedColumnFormula>
    </tableColumn>
    <tableColumn id="25" xr3:uid="{469EB0BC-71A1-4C1B-8514-5F0F60346EB2}" name="Kost item [2]" dataDxfId="29">
      <calculatedColumnFormula>VLOOKUP(Tableau_donnees_elec[[#This Row],[JAAR]],Tableau6[],2,FALSE)*Tableau_donnees_elec[[#This Row],[Item '[2']]]</calculatedColumnFormula>
    </tableColumn>
    <tableColumn id="26" xr3:uid="{355DCEBA-A63C-4CBC-AD65-47A6DD10481F}" name="Kost item [3]" dataDxfId="28">
      <calculatedColumnFormula>VLOOKUP(Tableau_donnees_elec[[#This Row],[JAAR]],Tableau6[],2,FALSE)*Tableau_donnees_elec[[#This Row],[Item '[3'] ]]</calculatedColumnFormula>
    </tableColumn>
    <tableColumn id="27" xr3:uid="{1EFC659C-A93A-4BF5-A105-821AF10358D3}" name="Kost item [4]" dataDxfId="27">
      <calculatedColumnFormula>VLOOKUP(Tableau_donnees_elec[[#This Row],[JAAR]],Tableau6[],2,FALSE)*Tableau_donnees_elec[[#This Row],[Item '[4'] ]]</calculatedColumnFormula>
    </tableColumn>
    <tableColumn id="28" xr3:uid="{221AA54F-57A4-49A1-9218-AAB8244281CA}" name="Kost item [5]" dataDxfId="26">
      <calculatedColumnFormula>VLOOKUP(Tableau_donnees_elec[[#This Row],[JAAR]],Tableau6[],2,FALSE)*Tableau_donnees_elec[[#This Row],[Item '[4'] ]]</calculatedColumnFormula>
    </tableColumn>
    <tableColumn id="29" xr3:uid="{1DF58BF6-97CB-44E8-A7DC-B969F3938FE0}" name="Kost item [6]" dataDxfId="25">
      <calculatedColumnFormula>VLOOKUP(Tableau_donnees_elec[[#This Row],[JAAR]],Tableau6[],2,FALSE)*Tableau_donnees_elec[[#This Row],[Item '[6']]]</calculatedColumnFormula>
    </tableColumn>
    <tableColumn id="30" xr3:uid="{93F0185C-C6FE-402C-AC28-13A6A62CBE3E}" name="Kost item [7]" dataDxfId="24">
      <calculatedColumnFormula>VLOOKUP(Tableau_donnees_elec[[#This Row],[JAAR]],Tableau6[],2,FALSE)*Tableau_donnees_elec[[#This Row],[Item '[7'] ]]</calculatedColumnFormula>
    </tableColumn>
    <tableColumn id="31" xr3:uid="{2F3B704E-DD58-4000-B283-F0326DF0BBE1}" name="Kost item [8] " dataDxfId="23">
      <calculatedColumnFormula>VLOOKUP(Tableau_donnees_elec[[#This Row],[JAAR]],Tableau6[],2,FALSE)*Tableau_donnees_elec[[#This Row],[Item '[8']]]</calculatedColumnFormula>
    </tableColumn>
    <tableColumn id="32" xr3:uid="{111B0C94-B02C-46A3-9CD3-B53F891D5C49}" name="Kost item [9]" dataDxfId="22">
      <calculatedColumnFormula>VLOOKUP(Tableau_donnees_elec[[#This Row],[JAAR]],Tableau6[],2,FALSE)*Tableau_donnees_elec[[#This Row],[Item '[9']]]</calculatedColumnFormula>
    </tableColumn>
    <tableColumn id="33" xr3:uid="{54FBAA86-62AF-47AD-9438-6FE9F875D00F}" name="Kost item [10]" dataDxfId="21">
      <calculatedColumnFormula>VLOOKUP(Tableau_donnees_elec[[#This Row],[JAAR]],Tableau6[],2,FALSE)*Tableau_donnees_elec[[#This Row],[Item '[10']]]</calculatedColumnFormula>
    </tableColumn>
    <tableColumn id="34" xr3:uid="{6FADEB37-8C35-4829-B853-65C350F7BB28}" name="Kost item [11]" dataDxfId="20">
      <calculatedColumnFormula>VLOOKUP(Tableau_donnees_elec[[#This Row],[JAAR]],Tableau6[],2,FALSE)*Tableau_donnees_elec[[#This Row],[Item '[11']]]</calculatedColumnFormula>
    </tableColumn>
    <tableColumn id="35" xr3:uid="{076C4072-8101-4EAD-92C7-DAAD2F89943A}" name="Kost item [12]" dataDxfId="19">
      <calculatedColumnFormula>VLOOKUP(Tableau_donnees_elec[[#This Row],[JAAR]],Tableau6[],2,FALSE)*Tableau_donnees_elec[[#This Row],[Item '[12']]]</calculatedColumnFormula>
    </tableColumn>
    <tableColumn id="36" xr3:uid="{528F8658-3481-4D26-AEF7-2ECEC68FBB98}" name="Kost item [13]" dataDxfId="18">
      <calculatedColumnFormula>VLOOKUP(Tableau_donnees_elec[[#This Row],[JAAR]],Tableau6[],2,FALSE)*Tableau_donnees_elec[[#This Row],[Item '[13']]]</calculatedColumnFormula>
    </tableColumn>
    <tableColumn id="37" xr3:uid="{A3A271AB-CBA8-4579-BF4F-F9A7947ED554}" name="Kost item [14]" dataDxfId="17">
      <calculatedColumnFormula>VLOOKUP(Tableau_donnees_elec[[#This Row],[JAAR]],Tableau6[],2,FALSE)*Tableau_donnees_elec[[#This Row],[Item '[14']]]</calculatedColumnFormula>
    </tableColumn>
    <tableColumn id="38" xr3:uid="{634EDDDF-DAF6-4BDE-925D-8BEB2DA1A706}" name="Kost item [15]" dataDxfId="16">
      <calculatedColumnFormula>VLOOKUP(Tableau_donnees_elec[[#This Row],[JAAR]],Tableau6[],2,FALSE)*Tableau_donnees_elec[[#This Row],[Item '[15']]]</calculatedColumnFormula>
    </tableColumn>
    <tableColumn id="39" xr3:uid="{2AA2E626-0FA1-4F03-A6EA-D0B3C9DACB1F}" name="Kost item [16]" dataDxfId="15">
      <calculatedColumnFormula>VLOOKUP(Tableau_donnees_elec[[#This Row],[JAAR]],Tableau6[],2,FALSE)*Tableau_donnees_elec[[#This Row],[Item '[16']]]</calculatedColumnFormula>
    </tableColumn>
    <tableColumn id="40" xr3:uid="{6A7AFF5E-6A73-4244-B22A-83E54C2B25BF}" name="Kost item [17]" dataDxfId="14">
      <calculatedColumnFormula>VLOOKUP(Tableau_donnees_elec[[#This Row],[JAAR]],Tableau6[],2,FALSE)*Tableau_donnees_elec[[#This Row],[Item '[17']]]</calculatedColumnFormula>
    </tableColumn>
    <tableColumn id="41" xr3:uid="{D20C966E-FD02-4FB5-996F-A88411AE25DD}" name="Kost item [18]" dataDxfId="13">
      <calculatedColumnFormula>VLOOKUP(Tableau_donnees_elec[[#This Row],[JAAR]],Tableau6[],2,FALSE)*Tableau_donnees_elec[[#This Row],[Item '[18']]]</calculatedColumnFormula>
    </tableColumn>
    <tableColumn id="42" xr3:uid="{DE00C68D-33D9-401A-9F1B-4CF0DEFFEFE1}" name="Kost item [19]" dataDxfId="12">
      <calculatedColumnFormula>VLOOKUP(Tableau_donnees_elec[[#This Row],[JAAR]],Tableau6[],2,FALSE)*Tableau_donnees_elec[[#This Row],[Item '[19']]]</calculatedColumnFormula>
    </tableColumn>
    <tableColumn id="43" xr3:uid="{42A49D05-C7FA-416F-8DC3-B0572F86D024}" name="Kost item [20]" dataDxfId="11">
      <calculatedColumnFormula>VLOOKUP(Tableau_donnees_elec[[#This Row],[JAAR]],Tableau6[],2,FALSE)*Tableau_donnees_elec[[#This Row],[Item '[20']]]</calculatedColumnFormula>
    </tableColumn>
    <tableColumn id="44" xr3:uid="{28A414E0-E3E3-4AC6-AF42-0D612908B239}" name="Totale Kosten" dataDxfId="10">
      <calculatedColumnFormula>VLOOKUP(Tableau_donnees_elec[[#This Row],[JAAR]],Tableau6[],2,FALSE)*Tableau_donnees_elec[[#This Row],[Totaal]]</calculatedColumnFormula>
    </tableColumn>
    <tableColumn id="45" xr3:uid="{03D03321-F9FE-4C83-BC9D-1BB8559F3190}" name="MAAND" dataDxfId="9">
      <calculatedColumnFormula>TEXT(Tableau_donnees_elec[[#This Row],[Maand/Jaar]],"mmmm")</calculatedColumnFormula>
    </tableColumn>
    <tableColumn id="46" xr3:uid="{D17249DC-4235-41E3-A18F-7FB8B4C2ABEA}" name="JAAR" dataDxfId="8">
      <calculatedColumnFormula>YEAR(Tableau_donnees_elec[[#This Row],[Maand/Jaar]])</calculatedColumnFormula>
    </tableColumn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A2191A5-F37D-4387-880C-02D8CF615843}" name="Tableau6" displayName="Tableau6" ref="B7:E12" totalsRowShown="0" headerRowDxfId="7" dataDxfId="6">
  <autoFilter ref="B7:E12" xr:uid="{1A2191A5-F37D-4387-880C-02D8CF615843}"/>
  <tableColumns count="4">
    <tableColumn id="1" xr3:uid="{2494A509-05C0-4EE1-BF6B-86DBD5EEC71B}" name="Jaar" dataDxfId="5"/>
    <tableColumn id="2" xr3:uid="{435BCF56-0311-4782-A077-E268B9E775E6}" name="elektriciteit (kw)" dataDxfId="4"/>
    <tableColumn id="3" xr3:uid="{110904DC-828B-4020-AECF-986B480B2DED}" name="water (m3)" dataDxfId="3"/>
    <tableColumn id="4" xr3:uid="{3393FD2E-25DD-4647-A18E-41786A559278}" name="Gas (m3 o kw)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Native_Mannd_Jaar" xr10:uid="{8A7631A1-3FCF-41A2-847E-47D439F759B7}" sourceName="Mannd/Jaar ">
  <pivotTables>
    <pivotTable tabId="23" name="Tab_evolution_conso_postes_EAU(13)"/>
    <pivotTable tabId="24" name="Tab_secteur_conso_postes_EAU(14)"/>
  </pivotTables>
  <state minimalRefreshVersion="6" lastRefreshVersion="6" pivotCacheId="1956454398" filterType="unknown">
    <bounds startDate="2022-01-01T00:00:00" endDate="2023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Native_Mannd_Jaar1" xr10:uid="{5173A7FA-A853-4801-AFC6-9D8D27E3012D}" sourceName="Mannd/Jaar">
  <pivotTables>
    <pivotTable tabId="28" name="Tab_evolution_conso_postes_GAZ(20)"/>
    <pivotTable tabId="29" name="Tab_secteur_conso_postes_GAZ(21)"/>
  </pivotTables>
  <state minimalRefreshVersion="6" lastRefreshVersion="6" pivotCacheId="1334326007" filterType="unknown">
    <bounds startDate="2022-01-01T00:00:00" endDate="2023-01-01T00:00:00"/>
  </state>
</timelineCacheDefinition>
</file>

<file path=xl/timelineCaches/timelineCache3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Native_Maand_Jaar" xr10:uid="{82B9F0AD-3F7D-4581-8743-7863498F3EFD}" sourceName="Maand/Jaar">
  <pivotTables>
    <pivotTable tabId="17" name="Tab_Evolution_Conso_Postes_ELEC(6)"/>
    <pivotTable tabId="18" name="Tab_Secteur_Conso_postes_ELEC(7)"/>
  </pivotTables>
  <state minimalRefreshVersion="6" lastRefreshVersion="6" pivotCacheId="225776657" filterType="unknown">
    <bounds startDate="2022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Maand/Jaar" xr10:uid="{90554063-C895-46B7-BC77-98F469112FF6}" cache="ChronologieNative_Maand_Jaar" caption="Maand/Jaar" showHeader="0" level="2" selectionLevel="2" scrollPosition="2022-06-30T00:00:00" style="TimeSlicerStyleLight4"/>
</timelines>
</file>

<file path=xl/timelines/timeline2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Mannd/Jaar" xr10:uid="{C5D24F7F-73C9-4BE8-87C9-08CE8816FA14}" cache="ChronologieNative_Mannd_Jaar1" caption="Mannd/Jaar" showHeader="0" level="2" selectionLevel="2" scrollPosition="2022-06-29T00:00:00" style="TimeSlicerStyleLight2"/>
</timelines>
</file>

<file path=xl/timelines/timeline3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Mannd/Jaar " xr10:uid="{C34F9EE2-5847-48F3-A54A-D42076E9E2B1}" cache="ChronologieNative_Mannd_Jaar" caption="Mannd/Jaar " showHeader="0" level="2" selectionLevel="2" scrollPosition="2022-06-30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0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4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7.xm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microsoft.com/office/2007/relationships/slicer" Target="../slicers/slicer1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1/relationships/timeline" Target="../timelines/timeline2.xml"/><Relationship Id="rId2" Type="http://schemas.microsoft.com/office/2007/relationships/slicer" Target="../slicers/slicer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1/relationships/timeline" Target="../timelines/timeline3.xml"/><Relationship Id="rId2" Type="http://schemas.microsoft.com/office/2007/relationships/slicer" Target="../slicers/slicer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6D0C-E094-497B-AD40-9BE3F43FFD62}">
  <dimension ref="A1:U22"/>
  <sheetViews>
    <sheetView showGridLines="0" tabSelected="1" workbookViewId="0">
      <selection activeCell="V1" sqref="V1:XFD1048576"/>
    </sheetView>
  </sheetViews>
  <sheetFormatPr baseColWidth="10" defaultColWidth="0" defaultRowHeight="15" zeroHeight="1" x14ac:dyDescent="0.25"/>
  <cols>
    <col min="1" max="21" width="11.42578125" customWidth="1"/>
    <col min="22" max="16384" width="11.42578125" hidden="1"/>
  </cols>
  <sheetData>
    <row r="1" spans="9:21" x14ac:dyDescent="0.25"/>
    <row r="2" spans="9:21" x14ac:dyDescent="0.25"/>
    <row r="3" spans="9:21" ht="29.25" customHeight="1" x14ac:dyDescent="0.25">
      <c r="I3" s="26" t="s">
        <v>102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9:21" x14ac:dyDescent="0.25"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9:21" x14ac:dyDescent="0.25"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9:21" x14ac:dyDescent="0.25"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9:21" x14ac:dyDescent="0.25"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9:21" x14ac:dyDescent="0.25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9:21" x14ac:dyDescent="0.25"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9:21" x14ac:dyDescent="0.25"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9:21" x14ac:dyDescent="0.25"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9:21" x14ac:dyDescent="0.25"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9:21" x14ac:dyDescent="0.25"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9:21" x14ac:dyDescent="0.25"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9:21" x14ac:dyDescent="0.25"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9:21" x14ac:dyDescent="0.25"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9:21" x14ac:dyDescent="0.25"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9:21" x14ac:dyDescent="0.25"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9:21" x14ac:dyDescent="0.25"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9:21" x14ac:dyDescent="0.25"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9:21" x14ac:dyDescent="0.25"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9:21" x14ac:dyDescent="0.25"/>
  </sheetData>
  <mergeCells count="1">
    <mergeCell ref="I3:U2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18576-0F65-4DD0-BB71-D653DD5D6F22}">
  <sheetPr>
    <tabColor theme="4" tint="0.79998168889431442"/>
  </sheetPr>
  <dimension ref="A1:C7"/>
  <sheetViews>
    <sheetView workbookViewId="0">
      <selection activeCell="C33" sqref="C33"/>
    </sheetView>
  </sheetViews>
  <sheetFormatPr baseColWidth="10" defaultRowHeight="15" x14ac:dyDescent="0.25"/>
  <cols>
    <col min="1" max="1" width="8.42578125" bestFit="1" customWidth="1"/>
    <col min="2" max="2" width="23.85546875" bestFit="1" customWidth="1"/>
    <col min="3" max="3" width="12.5703125" bestFit="1" customWidth="1"/>
    <col min="4" max="4" width="11.85546875" bestFit="1" customWidth="1"/>
    <col min="5" max="40" width="22.28515625" bestFit="1" customWidth="1"/>
    <col min="41" max="41" width="21.85546875" bestFit="1" customWidth="1"/>
    <col min="42" max="42" width="21.42578125" bestFit="1" customWidth="1"/>
    <col min="43" max="48" width="21.85546875" bestFit="1" customWidth="1"/>
    <col min="49" max="49" width="21.42578125" bestFit="1" customWidth="1"/>
    <col min="50" max="50" width="22.42578125" bestFit="1" customWidth="1"/>
    <col min="51" max="51" width="22.85546875" bestFit="1" customWidth="1"/>
    <col min="52" max="60" width="22.42578125" bestFit="1" customWidth="1"/>
  </cols>
  <sheetData>
    <row r="1" spans="1:3" ht="15.75" thickBot="1" x14ac:dyDescent="0.3"/>
    <row r="2" spans="1:3" ht="15.75" thickBot="1" x14ac:dyDescent="0.3">
      <c r="A2" s="14" t="s">
        <v>16</v>
      </c>
    </row>
    <row r="3" spans="1:3" x14ac:dyDescent="0.25">
      <c r="B3" s="7" t="s">
        <v>2</v>
      </c>
    </row>
    <row r="4" spans="1:3" x14ac:dyDescent="0.25">
      <c r="A4" s="7" t="s">
        <v>85</v>
      </c>
      <c r="B4">
        <v>2022</v>
      </c>
      <c r="C4" t="s">
        <v>1</v>
      </c>
    </row>
    <row r="5" spans="1:3" x14ac:dyDescent="0.25">
      <c r="A5" s="8" t="s">
        <v>86</v>
      </c>
      <c r="B5" s="25"/>
      <c r="C5" s="25"/>
    </row>
    <row r="6" spans="1:3" x14ac:dyDescent="0.25">
      <c r="A6" s="8" t="s">
        <v>87</v>
      </c>
      <c r="B6" s="25"/>
      <c r="C6" s="25"/>
    </row>
    <row r="7" spans="1:3" x14ac:dyDescent="0.25">
      <c r="A7" s="8" t="s">
        <v>96</v>
      </c>
      <c r="B7" s="25"/>
      <c r="C7" s="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10DF2-5567-4049-862A-589F8D1B29A2}">
  <sheetPr>
    <tabColor theme="4" tint="0.79998168889431442"/>
  </sheetPr>
  <dimension ref="A1:C7"/>
  <sheetViews>
    <sheetView workbookViewId="0">
      <selection activeCell="C33" sqref="C33"/>
    </sheetView>
  </sheetViews>
  <sheetFormatPr baseColWidth="10" defaultRowHeight="15" x14ac:dyDescent="0.25"/>
  <cols>
    <col min="1" max="1" width="12.7109375" bestFit="1" customWidth="1"/>
    <col min="2" max="2" width="23.85546875" bestFit="1" customWidth="1"/>
    <col min="3" max="3" width="12.5703125" bestFit="1" customWidth="1"/>
    <col min="4" max="4" width="11.85546875" bestFit="1" customWidth="1"/>
    <col min="5" max="40" width="22.7109375" bestFit="1" customWidth="1"/>
    <col min="41" max="41" width="26.42578125" bestFit="1" customWidth="1"/>
    <col min="42" max="42" width="25.85546875" bestFit="1" customWidth="1"/>
    <col min="43" max="48" width="26.42578125" bestFit="1" customWidth="1"/>
    <col min="49" max="49" width="25.85546875" bestFit="1" customWidth="1"/>
    <col min="50" max="50" width="27" bestFit="1" customWidth="1"/>
    <col min="51" max="51" width="27.42578125" bestFit="1" customWidth="1"/>
    <col min="52" max="60" width="27" bestFit="1" customWidth="1"/>
  </cols>
  <sheetData>
    <row r="1" spans="1:3" ht="15.75" thickBot="1" x14ac:dyDescent="0.3"/>
    <row r="2" spans="1:3" ht="15.75" thickBot="1" x14ac:dyDescent="0.3">
      <c r="A2" s="9" t="s">
        <v>17</v>
      </c>
    </row>
    <row r="3" spans="1:3" x14ac:dyDescent="0.25">
      <c r="B3" s="7" t="s">
        <v>2</v>
      </c>
    </row>
    <row r="4" spans="1:3" x14ac:dyDescent="0.25">
      <c r="A4" s="7" t="s">
        <v>85</v>
      </c>
      <c r="B4">
        <v>2022</v>
      </c>
      <c r="C4" t="s">
        <v>1</v>
      </c>
    </row>
    <row r="5" spans="1:3" x14ac:dyDescent="0.25">
      <c r="A5" s="8" t="s">
        <v>97</v>
      </c>
      <c r="B5" s="25">
        <v>0</v>
      </c>
      <c r="C5" s="25">
        <v>0</v>
      </c>
    </row>
    <row r="6" spans="1:3" x14ac:dyDescent="0.25">
      <c r="A6" s="8" t="s">
        <v>90</v>
      </c>
      <c r="B6" s="25">
        <v>0</v>
      </c>
      <c r="C6" s="25">
        <v>0</v>
      </c>
    </row>
    <row r="7" spans="1:3" x14ac:dyDescent="0.25">
      <c r="A7" s="8" t="s">
        <v>91</v>
      </c>
      <c r="B7" s="25">
        <v>0</v>
      </c>
      <c r="C7" s="2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BB953-8EA4-40BA-A22B-D7634C7C2F57}">
  <sheetPr>
    <tabColor theme="4" tint="0.79998168889431442"/>
  </sheetPr>
  <dimension ref="A1:G9"/>
  <sheetViews>
    <sheetView topLeftCell="A2" workbookViewId="0">
      <selection activeCell="C33" sqref="C33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4" width="8.42578125" bestFit="1" customWidth="1"/>
    <col min="5" max="7" width="13.28515625" bestFit="1" customWidth="1"/>
    <col min="8" max="9" width="17.140625" bestFit="1" customWidth="1"/>
    <col min="10" max="10" width="16.7109375" bestFit="1" customWidth="1"/>
    <col min="11" max="11" width="17.7109375" bestFit="1" customWidth="1"/>
    <col min="12" max="12" width="18.140625" bestFit="1" customWidth="1"/>
    <col min="13" max="21" width="17.7109375" bestFit="1" customWidth="1"/>
  </cols>
  <sheetData>
    <row r="1" spans="1:7" ht="15.75" thickBot="1" x14ac:dyDescent="0.3"/>
    <row r="2" spans="1:7" ht="15.75" thickBot="1" x14ac:dyDescent="0.3">
      <c r="A2" s="9" t="s">
        <v>18</v>
      </c>
    </row>
    <row r="3" spans="1:7" x14ac:dyDescent="0.25">
      <c r="B3" s="7" t="s">
        <v>2</v>
      </c>
    </row>
    <row r="4" spans="1:7" x14ac:dyDescent="0.25">
      <c r="B4">
        <v>2022</v>
      </c>
      <c r="E4" t="s">
        <v>98</v>
      </c>
      <c r="F4" t="s">
        <v>99</v>
      </c>
      <c r="G4" t="s">
        <v>100</v>
      </c>
    </row>
    <row r="5" spans="1:7" x14ac:dyDescent="0.25">
      <c r="A5" s="7" t="s">
        <v>0</v>
      </c>
      <c r="B5" t="s">
        <v>86</v>
      </c>
      <c r="C5" t="s">
        <v>87</v>
      </c>
      <c r="D5" t="s">
        <v>96</v>
      </c>
    </row>
    <row r="6" spans="1:7" x14ac:dyDescent="0.25">
      <c r="A6" s="8" t="s">
        <v>3</v>
      </c>
      <c r="B6" s="25"/>
      <c r="C6" s="25"/>
      <c r="D6" s="25"/>
      <c r="E6" s="25"/>
      <c r="F6" s="25"/>
      <c r="G6" s="25"/>
    </row>
    <row r="7" spans="1:7" x14ac:dyDescent="0.25">
      <c r="A7" s="8" t="s">
        <v>4</v>
      </c>
      <c r="B7" s="25"/>
      <c r="C7" s="25"/>
      <c r="D7" s="25"/>
      <c r="E7" s="25"/>
      <c r="F7" s="25"/>
      <c r="G7" s="25"/>
    </row>
    <row r="8" spans="1:7" x14ac:dyDescent="0.25">
      <c r="A8" s="8" t="s">
        <v>5</v>
      </c>
      <c r="B8" s="25"/>
      <c r="C8" s="25"/>
      <c r="D8" s="25"/>
      <c r="E8" s="25"/>
      <c r="F8" s="25"/>
      <c r="G8" s="25"/>
    </row>
    <row r="9" spans="1:7" x14ac:dyDescent="0.25">
      <c r="A9" s="8" t="s">
        <v>1</v>
      </c>
      <c r="B9" s="25"/>
      <c r="C9" s="25"/>
      <c r="D9" s="25"/>
      <c r="E9" s="25"/>
      <c r="F9" s="25"/>
      <c r="G9" s="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3D70-BB7B-449E-8831-0A2CC37F66CF}">
  <sheetPr>
    <tabColor theme="4" tint="0.79998168889431442"/>
  </sheetPr>
  <dimension ref="A1:B6"/>
  <sheetViews>
    <sheetView workbookViewId="0">
      <selection activeCell="C33" sqref="C33"/>
    </sheetView>
  </sheetViews>
  <sheetFormatPr baseColWidth="10" defaultRowHeight="15" x14ac:dyDescent="0.25"/>
  <cols>
    <col min="1" max="1" width="8.42578125" bestFit="1" customWidth="1"/>
    <col min="2" max="3" width="8.140625" bestFit="1" customWidth="1"/>
  </cols>
  <sheetData>
    <row r="1" spans="1:2" ht="15.75" thickBot="1" x14ac:dyDescent="0.3"/>
    <row r="2" spans="1:2" ht="15.75" thickBot="1" x14ac:dyDescent="0.3">
      <c r="A2" s="9" t="s">
        <v>19</v>
      </c>
    </row>
    <row r="3" spans="1:2" x14ac:dyDescent="0.25">
      <c r="A3" s="7" t="s">
        <v>85</v>
      </c>
    </row>
    <row r="4" spans="1:2" x14ac:dyDescent="0.25">
      <c r="A4" s="8" t="s">
        <v>86</v>
      </c>
      <c r="B4" s="25"/>
    </row>
    <row r="5" spans="1:2" x14ac:dyDescent="0.25">
      <c r="A5" s="8" t="s">
        <v>87</v>
      </c>
      <c r="B5" s="25"/>
    </row>
    <row r="6" spans="1:2" x14ac:dyDescent="0.25">
      <c r="A6" s="8" t="s">
        <v>96</v>
      </c>
      <c r="B6" s="2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F219A-C332-42FE-BA85-84D92612BEB4}">
  <sheetPr>
    <tabColor theme="5" tint="0.79998168889431442"/>
  </sheetPr>
  <dimension ref="A1:C27"/>
  <sheetViews>
    <sheetView topLeftCell="A19" workbookViewId="0">
      <selection activeCell="C33" sqref="C33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12.5703125" bestFit="1" customWidth="1"/>
    <col min="4" max="4" width="11.85546875" bestFit="1" customWidth="1"/>
  </cols>
  <sheetData>
    <row r="1" spans="1:3" ht="15.75" thickBot="1" x14ac:dyDescent="0.3"/>
    <row r="2" spans="1:3" ht="15.75" thickBot="1" x14ac:dyDescent="0.3">
      <c r="A2" s="10" t="s">
        <v>20</v>
      </c>
    </row>
    <row r="3" spans="1:3" x14ac:dyDescent="0.25">
      <c r="A3" s="7" t="s">
        <v>94</v>
      </c>
      <c r="B3" s="7" t="s">
        <v>2</v>
      </c>
    </row>
    <row r="4" spans="1:3" x14ac:dyDescent="0.25">
      <c r="A4" s="7" t="s">
        <v>0</v>
      </c>
      <c r="B4">
        <v>2022</v>
      </c>
      <c r="C4" t="s">
        <v>1</v>
      </c>
    </row>
    <row r="5" spans="1:3" x14ac:dyDescent="0.25">
      <c r="A5" s="8" t="s">
        <v>3</v>
      </c>
      <c r="B5" s="25"/>
      <c r="C5" s="25"/>
    </row>
    <row r="6" spans="1:3" x14ac:dyDescent="0.25">
      <c r="A6" s="8" t="s">
        <v>4</v>
      </c>
      <c r="B6" s="25"/>
      <c r="C6" s="25"/>
    </row>
    <row r="7" spans="1:3" x14ac:dyDescent="0.25">
      <c r="A7" s="8" t="s">
        <v>5</v>
      </c>
      <c r="B7" s="25"/>
      <c r="C7" s="25"/>
    </row>
    <row r="8" spans="1:3" x14ac:dyDescent="0.25">
      <c r="A8" s="8" t="s">
        <v>1</v>
      </c>
      <c r="B8" s="25"/>
      <c r="C8" s="25"/>
    </row>
    <row r="18" spans="1:3" ht="15.75" thickBot="1" x14ac:dyDescent="0.3"/>
    <row r="19" spans="1:3" ht="15.75" thickBot="1" x14ac:dyDescent="0.3">
      <c r="A19" s="10" t="s">
        <v>21</v>
      </c>
    </row>
    <row r="20" spans="1:3" x14ac:dyDescent="0.25">
      <c r="B20" s="7" t="s">
        <v>2</v>
      </c>
    </row>
    <row r="21" spans="1:3" x14ac:dyDescent="0.25">
      <c r="B21">
        <v>2022</v>
      </c>
      <c r="C21" t="s">
        <v>1</v>
      </c>
    </row>
    <row r="22" spans="1:3" x14ac:dyDescent="0.25">
      <c r="A22" t="s">
        <v>84</v>
      </c>
      <c r="B22" s="25"/>
      <c r="C22" s="25"/>
    </row>
    <row r="23" spans="1:3" ht="15.75" thickBot="1" x14ac:dyDescent="0.3"/>
    <row r="24" spans="1:3" ht="15.75" thickBot="1" x14ac:dyDescent="0.3">
      <c r="A24" s="14" t="s">
        <v>22</v>
      </c>
    </row>
    <row r="25" spans="1:3" x14ac:dyDescent="0.25">
      <c r="B25" s="7" t="s">
        <v>2</v>
      </c>
    </row>
    <row r="26" spans="1:3" x14ac:dyDescent="0.25">
      <c r="B26">
        <v>2022</v>
      </c>
      <c r="C26" t="s">
        <v>1</v>
      </c>
    </row>
    <row r="27" spans="1:3" x14ac:dyDescent="0.25">
      <c r="A27" t="s">
        <v>95</v>
      </c>
      <c r="B27" s="25">
        <v>0</v>
      </c>
      <c r="C27" s="25">
        <v>0</v>
      </c>
    </row>
  </sheetData>
  <pageMargins left="0.7" right="0.7" top="0.75" bottom="0.75" header="0.3" footer="0.3"/>
  <pageSetup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DFB5-5344-4268-93BE-F5E3A0B8129F}">
  <sheetPr>
    <tabColor theme="5" tint="0.79998168889431442"/>
  </sheetPr>
  <dimension ref="A1:C7"/>
  <sheetViews>
    <sheetView workbookViewId="0">
      <selection activeCell="C33" sqref="C33"/>
    </sheetView>
  </sheetViews>
  <sheetFormatPr baseColWidth="10" defaultRowHeight="15" x14ac:dyDescent="0.25"/>
  <cols>
    <col min="1" max="1" width="8.42578125" bestFit="1" customWidth="1"/>
    <col min="2" max="2" width="23.85546875" bestFit="1" customWidth="1"/>
    <col min="3" max="3" width="12.5703125" bestFit="1" customWidth="1"/>
    <col min="4" max="4" width="11.85546875" bestFit="1" customWidth="1"/>
    <col min="5" max="40" width="22.28515625" bestFit="1" customWidth="1"/>
    <col min="41" max="41" width="21.85546875" bestFit="1" customWidth="1"/>
    <col min="42" max="42" width="21.42578125" bestFit="1" customWidth="1"/>
    <col min="43" max="48" width="21.85546875" bestFit="1" customWidth="1"/>
    <col min="49" max="49" width="21.42578125" bestFit="1" customWidth="1"/>
    <col min="50" max="50" width="22.42578125" bestFit="1" customWidth="1"/>
    <col min="51" max="51" width="22.85546875" bestFit="1" customWidth="1"/>
    <col min="52" max="60" width="22.42578125" bestFit="1" customWidth="1"/>
  </cols>
  <sheetData>
    <row r="1" spans="1:3" ht="15.75" thickBot="1" x14ac:dyDescent="0.3"/>
    <row r="2" spans="1:3" ht="15.75" thickBot="1" x14ac:dyDescent="0.3">
      <c r="A2" s="10" t="s">
        <v>23</v>
      </c>
    </row>
    <row r="3" spans="1:3" x14ac:dyDescent="0.25">
      <c r="B3" s="7" t="s">
        <v>2</v>
      </c>
    </row>
    <row r="4" spans="1:3" x14ac:dyDescent="0.25">
      <c r="A4" s="7" t="s">
        <v>85</v>
      </c>
      <c r="B4">
        <v>2022</v>
      </c>
      <c r="C4" t="s">
        <v>1</v>
      </c>
    </row>
    <row r="5" spans="1:3" x14ac:dyDescent="0.25">
      <c r="A5" s="8" t="s">
        <v>86</v>
      </c>
      <c r="B5" s="25"/>
      <c r="C5" s="25"/>
    </row>
    <row r="6" spans="1:3" x14ac:dyDescent="0.25">
      <c r="A6" s="8" t="s">
        <v>87</v>
      </c>
      <c r="B6" s="25"/>
      <c r="C6" s="25"/>
    </row>
    <row r="7" spans="1:3" x14ac:dyDescent="0.25">
      <c r="A7" s="8" t="s">
        <v>96</v>
      </c>
      <c r="B7" s="25"/>
      <c r="C7" s="2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2BEA6-AC4B-4ED9-BCBB-9D2D26D20C91}">
  <sheetPr>
    <tabColor theme="5" tint="0.79998168889431442"/>
  </sheetPr>
  <dimension ref="A1:C7"/>
  <sheetViews>
    <sheetView workbookViewId="0">
      <selection activeCell="C33" sqref="C33"/>
    </sheetView>
  </sheetViews>
  <sheetFormatPr baseColWidth="10" defaultRowHeight="15" x14ac:dyDescent="0.25"/>
  <cols>
    <col min="1" max="1" width="12.7109375" bestFit="1" customWidth="1"/>
    <col min="2" max="2" width="23.85546875" bestFit="1" customWidth="1"/>
    <col min="3" max="3" width="12.5703125" bestFit="1" customWidth="1"/>
    <col min="4" max="4" width="11.85546875" bestFit="1" customWidth="1"/>
    <col min="5" max="40" width="22.7109375" bestFit="1" customWidth="1"/>
    <col min="41" max="41" width="26.42578125" bestFit="1" customWidth="1"/>
    <col min="42" max="42" width="25.85546875" bestFit="1" customWidth="1"/>
    <col min="43" max="48" width="26.42578125" bestFit="1" customWidth="1"/>
    <col min="49" max="49" width="25.85546875" bestFit="1" customWidth="1"/>
    <col min="50" max="50" width="27" bestFit="1" customWidth="1"/>
    <col min="51" max="51" width="27.42578125" bestFit="1" customWidth="1"/>
    <col min="52" max="60" width="27" bestFit="1" customWidth="1"/>
  </cols>
  <sheetData>
    <row r="1" spans="1:3" ht="15.75" thickBot="1" x14ac:dyDescent="0.3"/>
    <row r="2" spans="1:3" ht="15.75" thickBot="1" x14ac:dyDescent="0.3">
      <c r="A2" s="10" t="s">
        <v>24</v>
      </c>
    </row>
    <row r="3" spans="1:3" x14ac:dyDescent="0.25">
      <c r="B3" s="7" t="s">
        <v>2</v>
      </c>
    </row>
    <row r="4" spans="1:3" x14ac:dyDescent="0.25">
      <c r="A4" s="7" t="s">
        <v>85</v>
      </c>
      <c r="B4">
        <v>2022</v>
      </c>
      <c r="C4" t="s">
        <v>1</v>
      </c>
    </row>
    <row r="5" spans="1:3" x14ac:dyDescent="0.25">
      <c r="A5" s="8" t="s">
        <v>97</v>
      </c>
      <c r="B5" s="25">
        <v>0</v>
      </c>
      <c r="C5" s="25">
        <v>0</v>
      </c>
    </row>
    <row r="6" spans="1:3" x14ac:dyDescent="0.25">
      <c r="A6" s="8" t="s">
        <v>90</v>
      </c>
      <c r="B6" s="25">
        <v>0</v>
      </c>
      <c r="C6" s="25">
        <v>0</v>
      </c>
    </row>
    <row r="7" spans="1:3" x14ac:dyDescent="0.25">
      <c r="A7" s="8" t="s">
        <v>91</v>
      </c>
      <c r="B7" s="25">
        <v>0</v>
      </c>
      <c r="C7" s="25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32BC8-4734-42DC-802D-0DF280DD6B5B}">
  <sheetPr>
    <tabColor theme="5" tint="0.79998168889431442"/>
  </sheetPr>
  <dimension ref="A1:G9"/>
  <sheetViews>
    <sheetView workbookViewId="0">
      <selection activeCell="C33" sqref="C33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4" width="8.42578125" bestFit="1" customWidth="1"/>
    <col min="5" max="7" width="13.28515625" bestFit="1" customWidth="1"/>
    <col min="8" max="9" width="17.140625" bestFit="1" customWidth="1"/>
    <col min="10" max="10" width="16.7109375" bestFit="1" customWidth="1"/>
    <col min="11" max="11" width="17.7109375" bestFit="1" customWidth="1"/>
    <col min="12" max="12" width="18.140625" bestFit="1" customWidth="1"/>
    <col min="13" max="21" width="17.7109375" bestFit="1" customWidth="1"/>
  </cols>
  <sheetData>
    <row r="1" spans="1:7" ht="15.75" thickBot="1" x14ac:dyDescent="0.3"/>
    <row r="2" spans="1:7" ht="15.75" thickBot="1" x14ac:dyDescent="0.3">
      <c r="A2" s="10" t="s">
        <v>25</v>
      </c>
    </row>
    <row r="3" spans="1:7" x14ac:dyDescent="0.25">
      <c r="B3" s="7" t="s">
        <v>2</v>
      </c>
    </row>
    <row r="4" spans="1:7" x14ac:dyDescent="0.25">
      <c r="B4">
        <v>2022</v>
      </c>
      <c r="E4" t="s">
        <v>98</v>
      </c>
      <c r="F4" t="s">
        <v>99</v>
      </c>
      <c r="G4" t="s">
        <v>100</v>
      </c>
    </row>
    <row r="5" spans="1:7" x14ac:dyDescent="0.25">
      <c r="A5" s="7" t="s">
        <v>0</v>
      </c>
      <c r="B5" t="s">
        <v>86</v>
      </c>
      <c r="C5" t="s">
        <v>87</v>
      </c>
      <c r="D5" t="s">
        <v>96</v>
      </c>
    </row>
    <row r="6" spans="1:7" x14ac:dyDescent="0.25">
      <c r="A6" s="8" t="s">
        <v>3</v>
      </c>
      <c r="B6" s="25"/>
      <c r="C6" s="25"/>
      <c r="D6" s="25"/>
      <c r="E6" s="25"/>
      <c r="F6" s="25"/>
      <c r="G6" s="25"/>
    </row>
    <row r="7" spans="1:7" x14ac:dyDescent="0.25">
      <c r="A7" s="8" t="s">
        <v>4</v>
      </c>
      <c r="B7" s="25"/>
      <c r="C7" s="25"/>
      <c r="D7" s="25"/>
      <c r="E7" s="25"/>
      <c r="F7" s="25"/>
      <c r="G7" s="25"/>
    </row>
    <row r="8" spans="1:7" x14ac:dyDescent="0.25">
      <c r="A8" s="8" t="s">
        <v>5</v>
      </c>
      <c r="B8" s="25"/>
      <c r="C8" s="25"/>
      <c r="D8" s="25"/>
      <c r="E8" s="25"/>
      <c r="F8" s="25"/>
      <c r="G8" s="25"/>
    </row>
    <row r="9" spans="1:7" x14ac:dyDescent="0.25">
      <c r="A9" s="8" t="s">
        <v>1</v>
      </c>
      <c r="B9" s="25"/>
      <c r="C9" s="25"/>
      <c r="D9" s="25"/>
      <c r="E9" s="25"/>
      <c r="F9" s="25"/>
      <c r="G9" s="2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7363-B5DB-4CA8-B965-192D6AE6BE95}">
  <sheetPr>
    <tabColor theme="5" tint="0.79998168889431442"/>
  </sheetPr>
  <dimension ref="A1:B6"/>
  <sheetViews>
    <sheetView workbookViewId="0">
      <selection activeCell="C33" sqref="C33"/>
    </sheetView>
  </sheetViews>
  <sheetFormatPr baseColWidth="10" defaultRowHeight="15" x14ac:dyDescent="0.25"/>
  <cols>
    <col min="1" max="1" width="8.42578125" bestFit="1" customWidth="1"/>
    <col min="2" max="3" width="8.140625" bestFit="1" customWidth="1"/>
    <col min="4" max="8" width="17.140625" bestFit="1" customWidth="1"/>
    <col min="9" max="9" width="16.7109375" bestFit="1" customWidth="1"/>
    <col min="10" max="10" width="17.7109375" bestFit="1" customWidth="1"/>
    <col min="11" max="11" width="18.140625" bestFit="1" customWidth="1"/>
    <col min="12" max="20" width="17.7109375" bestFit="1" customWidth="1"/>
  </cols>
  <sheetData>
    <row r="1" spans="1:2" ht="15.75" thickBot="1" x14ac:dyDescent="0.3"/>
    <row r="2" spans="1:2" ht="15.75" thickBot="1" x14ac:dyDescent="0.3">
      <c r="A2" s="9" t="s">
        <v>26</v>
      </c>
    </row>
    <row r="3" spans="1:2" x14ac:dyDescent="0.25">
      <c r="A3" s="7" t="s">
        <v>85</v>
      </c>
    </row>
    <row r="4" spans="1:2" x14ac:dyDescent="0.25">
      <c r="A4" s="8" t="s">
        <v>86</v>
      </c>
      <c r="B4" s="25"/>
    </row>
    <row r="5" spans="1:2" x14ac:dyDescent="0.25">
      <c r="A5" s="8" t="s">
        <v>87</v>
      </c>
      <c r="B5" s="25"/>
    </row>
    <row r="6" spans="1:2" x14ac:dyDescent="0.25">
      <c r="A6" s="8" t="s">
        <v>96</v>
      </c>
      <c r="B6" s="2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7731-A35B-4B2A-8038-BB489BD381A4}">
  <sheetPr>
    <tabColor theme="7" tint="0.59999389629810485"/>
  </sheetPr>
  <dimension ref="A1:C27"/>
  <sheetViews>
    <sheetView workbookViewId="0">
      <selection activeCell="C33" sqref="C33"/>
    </sheetView>
  </sheetViews>
  <sheetFormatPr baseColWidth="10" defaultRowHeight="15" x14ac:dyDescent="0.25"/>
  <cols>
    <col min="1" max="1" width="13.5703125" bestFit="1" customWidth="1"/>
    <col min="2" max="2" width="23.85546875" bestFit="1" customWidth="1"/>
    <col min="3" max="3" width="12.5703125" bestFit="1" customWidth="1"/>
    <col min="4" max="4" width="11.85546875" bestFit="1" customWidth="1"/>
    <col min="5" max="5" width="15.140625" bestFit="1" customWidth="1"/>
    <col min="6" max="6" width="22.28515625" bestFit="1" customWidth="1"/>
    <col min="7" max="7" width="19.85546875" bestFit="1" customWidth="1"/>
  </cols>
  <sheetData>
    <row r="1" spans="1:3" ht="15.75" thickBot="1" x14ac:dyDescent="0.3"/>
    <row r="2" spans="1:3" s="1" customFormat="1" ht="15.75" thickBot="1" x14ac:dyDescent="0.3">
      <c r="A2" s="11" t="s">
        <v>6</v>
      </c>
    </row>
    <row r="3" spans="1:3" x14ac:dyDescent="0.25">
      <c r="A3" s="7" t="s">
        <v>94</v>
      </c>
      <c r="B3" s="7" t="s">
        <v>2</v>
      </c>
    </row>
    <row r="4" spans="1:3" x14ac:dyDescent="0.25">
      <c r="A4" s="7" t="s">
        <v>0</v>
      </c>
      <c r="B4">
        <v>2022</v>
      </c>
      <c r="C4" t="s">
        <v>1</v>
      </c>
    </row>
    <row r="5" spans="1:3" x14ac:dyDescent="0.25">
      <c r="A5" s="8" t="s">
        <v>3</v>
      </c>
      <c r="B5" s="25"/>
      <c r="C5" s="25"/>
    </row>
    <row r="6" spans="1:3" x14ac:dyDescent="0.25">
      <c r="A6" s="8" t="s">
        <v>4</v>
      </c>
      <c r="B6" s="25"/>
      <c r="C6" s="25"/>
    </row>
    <row r="7" spans="1:3" x14ac:dyDescent="0.25">
      <c r="A7" s="8" t="s">
        <v>5</v>
      </c>
      <c r="B7" s="25"/>
      <c r="C7" s="25"/>
    </row>
    <row r="8" spans="1:3" x14ac:dyDescent="0.25">
      <c r="A8" s="8" t="s">
        <v>1</v>
      </c>
      <c r="B8" s="25"/>
      <c r="C8" s="25"/>
    </row>
    <row r="18" spans="1:3" ht="15.75" thickBot="1" x14ac:dyDescent="0.3"/>
    <row r="19" spans="1:3" ht="15.75" thickBot="1" x14ac:dyDescent="0.3">
      <c r="A19" s="12" t="s">
        <v>7</v>
      </c>
    </row>
    <row r="20" spans="1:3" x14ac:dyDescent="0.25">
      <c r="B20" s="7" t="s">
        <v>2</v>
      </c>
    </row>
    <row r="21" spans="1:3" x14ac:dyDescent="0.25">
      <c r="B21">
        <v>2022</v>
      </c>
      <c r="C21" t="s">
        <v>1</v>
      </c>
    </row>
    <row r="22" spans="1:3" x14ac:dyDescent="0.25">
      <c r="A22" t="s">
        <v>94</v>
      </c>
      <c r="B22" s="25"/>
      <c r="C22" s="25"/>
    </row>
    <row r="23" spans="1:3" ht="15.75" thickBot="1" x14ac:dyDescent="0.3"/>
    <row r="24" spans="1:3" ht="15.75" thickBot="1" x14ac:dyDescent="0.3">
      <c r="A24" s="12" t="s">
        <v>8</v>
      </c>
    </row>
    <row r="25" spans="1:3" x14ac:dyDescent="0.25">
      <c r="B25" s="7" t="s">
        <v>2</v>
      </c>
    </row>
    <row r="26" spans="1:3" x14ac:dyDescent="0.25">
      <c r="B26">
        <v>2022</v>
      </c>
      <c r="C26" t="s">
        <v>1</v>
      </c>
    </row>
    <row r="27" spans="1:3" x14ac:dyDescent="0.25">
      <c r="A27" t="s">
        <v>95</v>
      </c>
      <c r="B27" s="20">
        <v>0</v>
      </c>
      <c r="C27" s="20">
        <v>0</v>
      </c>
    </row>
  </sheetData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6C00E-2FD4-4463-A733-23AEF079EE3C}">
  <sheetPr>
    <tabColor theme="7"/>
  </sheetPr>
  <dimension ref="A5:S106"/>
  <sheetViews>
    <sheetView topLeftCell="E37" zoomScaleNormal="100" workbookViewId="0"/>
  </sheetViews>
  <sheetFormatPr baseColWidth="10" defaultColWidth="11.5703125" defaultRowHeight="15" x14ac:dyDescent="0.25"/>
  <cols>
    <col min="1" max="18" width="11.5703125" style="1"/>
    <col min="19" max="19" width="11.5703125" style="2"/>
    <col min="20" max="16384" width="11.5703125" style="1"/>
  </cols>
  <sheetData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39" spans="1:1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65" spans="1: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73" spans="1: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99" spans="1:1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6" spans="1: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</sheetData>
  <sheetProtection selectLockedCells="1"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316BB-AC9E-4BAA-9179-7F8227A77BAD}">
  <sheetPr>
    <tabColor theme="7" tint="0.59999389629810485"/>
  </sheetPr>
  <dimension ref="A1:C7"/>
  <sheetViews>
    <sheetView workbookViewId="0">
      <selection activeCell="C33" sqref="C33"/>
    </sheetView>
  </sheetViews>
  <sheetFormatPr baseColWidth="10" defaultRowHeight="15" x14ac:dyDescent="0.25"/>
  <cols>
    <col min="1" max="1" width="8.85546875" bestFit="1" customWidth="1"/>
    <col min="2" max="2" width="23.85546875" bestFit="1" customWidth="1"/>
    <col min="3" max="3" width="12.5703125" bestFit="1" customWidth="1"/>
    <col min="4" max="4" width="11.85546875" bestFit="1" customWidth="1"/>
    <col min="5" max="6" width="22.28515625" bestFit="1" customWidth="1"/>
    <col min="7" max="7" width="21.85546875" bestFit="1" customWidth="1"/>
    <col min="8" max="8" width="21.42578125" bestFit="1" customWidth="1"/>
    <col min="9" max="9" width="21.85546875" bestFit="1" customWidth="1"/>
  </cols>
  <sheetData>
    <row r="1" spans="1:3" ht="15.75" thickBot="1" x14ac:dyDescent="0.3"/>
    <row r="2" spans="1:3" ht="15.75" thickBot="1" x14ac:dyDescent="0.3">
      <c r="A2" s="13" t="s">
        <v>9</v>
      </c>
    </row>
    <row r="3" spans="1:3" x14ac:dyDescent="0.25">
      <c r="B3" s="7" t="s">
        <v>2</v>
      </c>
    </row>
    <row r="4" spans="1:3" x14ac:dyDescent="0.25">
      <c r="A4" s="7" t="s">
        <v>85</v>
      </c>
      <c r="B4">
        <v>2022</v>
      </c>
      <c r="C4" t="s">
        <v>1</v>
      </c>
    </row>
    <row r="5" spans="1:3" x14ac:dyDescent="0.25">
      <c r="A5" s="8" t="s">
        <v>86</v>
      </c>
      <c r="B5" s="25"/>
      <c r="C5" s="25"/>
    </row>
    <row r="6" spans="1:3" x14ac:dyDescent="0.25">
      <c r="A6" s="8" t="s">
        <v>87</v>
      </c>
      <c r="B6" s="25"/>
      <c r="C6" s="25"/>
    </row>
    <row r="7" spans="1:3" x14ac:dyDescent="0.25">
      <c r="A7" s="8" t="s">
        <v>88</v>
      </c>
      <c r="B7" s="25"/>
      <c r="C7" s="2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FC05-1652-4167-8B40-A5802DC300A6}">
  <sheetPr>
    <tabColor theme="7" tint="0.59999389629810485"/>
  </sheetPr>
  <dimension ref="A1:C7"/>
  <sheetViews>
    <sheetView workbookViewId="0">
      <selection activeCell="C33" sqref="C33"/>
    </sheetView>
  </sheetViews>
  <sheetFormatPr baseColWidth="10" defaultRowHeight="15" x14ac:dyDescent="0.25"/>
  <cols>
    <col min="1" max="1" width="12.7109375" bestFit="1" customWidth="1"/>
    <col min="2" max="2" width="23.85546875" bestFit="1" customWidth="1"/>
    <col min="3" max="3" width="12.5703125" bestFit="1" customWidth="1"/>
    <col min="4" max="4" width="11.85546875" bestFit="1" customWidth="1"/>
    <col min="5" max="6" width="22.28515625" bestFit="1" customWidth="1"/>
    <col min="7" max="7" width="21.85546875" bestFit="1" customWidth="1"/>
    <col min="8" max="8" width="21.42578125" bestFit="1" customWidth="1"/>
    <col min="9" max="9" width="21.85546875" bestFit="1" customWidth="1"/>
  </cols>
  <sheetData>
    <row r="1" spans="1:3" ht="15.75" thickBot="1" x14ac:dyDescent="0.3"/>
    <row r="2" spans="1:3" ht="15.75" thickBot="1" x14ac:dyDescent="0.3">
      <c r="A2" s="12" t="s">
        <v>10</v>
      </c>
    </row>
    <row r="3" spans="1:3" x14ac:dyDescent="0.25">
      <c r="B3" s="7" t="s">
        <v>2</v>
      </c>
    </row>
    <row r="4" spans="1:3" x14ac:dyDescent="0.25">
      <c r="A4" s="7" t="s">
        <v>85</v>
      </c>
      <c r="B4">
        <v>2022</v>
      </c>
      <c r="C4" t="s">
        <v>1</v>
      </c>
    </row>
    <row r="5" spans="1:3" x14ac:dyDescent="0.25">
      <c r="A5" s="8" t="s">
        <v>89</v>
      </c>
      <c r="B5" s="25">
        <v>0</v>
      </c>
      <c r="C5" s="25">
        <v>0</v>
      </c>
    </row>
    <row r="6" spans="1:3" x14ac:dyDescent="0.25">
      <c r="A6" s="8" t="s">
        <v>90</v>
      </c>
      <c r="B6" s="25">
        <v>0</v>
      </c>
      <c r="C6" s="25">
        <v>0</v>
      </c>
    </row>
    <row r="7" spans="1:3" x14ac:dyDescent="0.25">
      <c r="A7" s="8" t="s">
        <v>91</v>
      </c>
      <c r="B7" s="25">
        <v>0</v>
      </c>
      <c r="C7" s="25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11C82-BF45-4309-9AE2-337FF2B35DDF}">
  <sheetPr>
    <tabColor theme="7" tint="0.59999389629810485"/>
  </sheetPr>
  <dimension ref="A1:G9"/>
  <sheetViews>
    <sheetView workbookViewId="0">
      <selection activeCell="C33" sqref="C33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8.42578125" bestFit="1" customWidth="1"/>
    <col min="4" max="4" width="8.85546875" bestFit="1" customWidth="1"/>
    <col min="5" max="6" width="13.28515625" bestFit="1" customWidth="1"/>
    <col min="7" max="7" width="13.7109375" bestFit="1" customWidth="1"/>
    <col min="8" max="9" width="17.140625" bestFit="1" customWidth="1"/>
    <col min="10" max="10" width="16.7109375" bestFit="1" customWidth="1"/>
    <col min="11" max="11" width="17.7109375" bestFit="1" customWidth="1"/>
    <col min="12" max="12" width="18.140625" bestFit="1" customWidth="1"/>
    <col min="13" max="21" width="17.7109375" bestFit="1" customWidth="1"/>
    <col min="22" max="22" width="14.7109375" bestFit="1" customWidth="1"/>
    <col min="23" max="36" width="22.28515625" bestFit="1" customWidth="1"/>
    <col min="37" max="37" width="21.7109375" bestFit="1" customWidth="1"/>
    <col min="38" max="38" width="21.28515625" bestFit="1" customWidth="1"/>
    <col min="39" max="39" width="21.7109375" bestFit="1" customWidth="1"/>
    <col min="40" max="48" width="17.140625" bestFit="1" customWidth="1"/>
    <col min="49" max="49" width="21.7109375" bestFit="1" customWidth="1"/>
    <col min="50" max="50" width="21.28515625" bestFit="1" customWidth="1"/>
    <col min="51" max="51" width="21.7109375" bestFit="1" customWidth="1"/>
    <col min="52" max="52" width="21.85546875" bestFit="1" customWidth="1"/>
    <col min="53" max="53" width="21.42578125" bestFit="1" customWidth="1"/>
    <col min="54" max="54" width="21.85546875" bestFit="1" customWidth="1"/>
  </cols>
  <sheetData>
    <row r="1" spans="1:7" ht="15.75" thickBot="1" x14ac:dyDescent="0.3"/>
    <row r="2" spans="1:7" ht="15.75" thickBot="1" x14ac:dyDescent="0.3">
      <c r="A2" s="12" t="s">
        <v>11</v>
      </c>
    </row>
    <row r="3" spans="1:7" x14ac:dyDescent="0.25">
      <c r="B3" s="7" t="s">
        <v>2</v>
      </c>
    </row>
    <row r="4" spans="1:7" x14ac:dyDescent="0.25">
      <c r="B4">
        <v>2022</v>
      </c>
      <c r="E4" t="s">
        <v>98</v>
      </c>
      <c r="F4" t="s">
        <v>99</v>
      </c>
      <c r="G4" t="s">
        <v>101</v>
      </c>
    </row>
    <row r="5" spans="1:7" x14ac:dyDescent="0.25">
      <c r="A5" s="7" t="s">
        <v>0</v>
      </c>
      <c r="B5" t="s">
        <v>86</v>
      </c>
      <c r="C5" t="s">
        <v>87</v>
      </c>
      <c r="D5" t="s">
        <v>88</v>
      </c>
    </row>
    <row r="6" spans="1:7" x14ac:dyDescent="0.25">
      <c r="A6" s="8" t="s">
        <v>3</v>
      </c>
      <c r="B6" s="25"/>
      <c r="C6" s="25"/>
      <c r="D6" s="25"/>
      <c r="E6" s="25"/>
      <c r="F6" s="25"/>
      <c r="G6" s="25"/>
    </row>
    <row r="7" spans="1:7" x14ac:dyDescent="0.25">
      <c r="A7" s="8" t="s">
        <v>4</v>
      </c>
      <c r="B7" s="25"/>
      <c r="C7" s="25"/>
      <c r="D7" s="25"/>
      <c r="E7" s="25"/>
      <c r="F7" s="25"/>
      <c r="G7" s="25"/>
    </row>
    <row r="8" spans="1:7" x14ac:dyDescent="0.25">
      <c r="A8" s="8" t="s">
        <v>5</v>
      </c>
      <c r="B8" s="25"/>
      <c r="C8" s="25"/>
      <c r="D8" s="25"/>
      <c r="E8" s="25"/>
      <c r="F8" s="25"/>
      <c r="G8" s="25"/>
    </row>
    <row r="9" spans="1:7" x14ac:dyDescent="0.25">
      <c r="A9" s="8" t="s">
        <v>1</v>
      </c>
      <c r="B9" s="25"/>
      <c r="C9" s="25"/>
      <c r="D9" s="25"/>
      <c r="E9" s="25"/>
      <c r="F9" s="25"/>
      <c r="G9" s="2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ED4C8-519E-4D1A-8E33-56DEFB86A9F9}">
  <sheetPr>
    <tabColor theme="7" tint="0.59999389629810485"/>
  </sheetPr>
  <dimension ref="A1:B6"/>
  <sheetViews>
    <sheetView workbookViewId="0">
      <selection activeCell="C33" sqref="C33"/>
    </sheetView>
  </sheetViews>
  <sheetFormatPr baseColWidth="10" defaultRowHeight="15" x14ac:dyDescent="0.25"/>
  <cols>
    <col min="1" max="1" width="8.85546875" bestFit="1" customWidth="1"/>
    <col min="2" max="2" width="17.7109375" bestFit="1" customWidth="1"/>
    <col min="3" max="3" width="6" bestFit="1" customWidth="1"/>
    <col min="4" max="4" width="11.85546875" bestFit="1" customWidth="1"/>
    <col min="5" max="7" width="5" bestFit="1" customWidth="1"/>
    <col min="8" max="8" width="5.7109375" bestFit="1" customWidth="1"/>
    <col min="9" max="9" width="5" bestFit="1" customWidth="1"/>
    <col min="10" max="10" width="10" bestFit="1" customWidth="1"/>
    <col min="11" max="11" width="7.5703125" bestFit="1" customWidth="1"/>
    <col min="12" max="12" width="9.7109375" bestFit="1" customWidth="1"/>
    <col min="13" max="13" width="9.42578125" bestFit="1" customWidth="1"/>
    <col min="14" max="14" width="9.7109375" bestFit="1" customWidth="1"/>
    <col min="15" max="15" width="7" bestFit="1" customWidth="1"/>
    <col min="16" max="16" width="6.42578125" bestFit="1" customWidth="1"/>
    <col min="17" max="17" width="5.140625" bestFit="1" customWidth="1"/>
    <col min="18" max="18" width="9.7109375" bestFit="1" customWidth="1"/>
    <col min="19" max="19" width="11.85546875" bestFit="1" customWidth="1"/>
    <col min="20" max="36" width="22.28515625" bestFit="1" customWidth="1"/>
    <col min="37" max="37" width="22.140625" bestFit="1" customWidth="1"/>
    <col min="38" max="38" width="21.7109375" bestFit="1" customWidth="1"/>
    <col min="39" max="39" width="22.140625" bestFit="1" customWidth="1"/>
    <col min="40" max="48" width="17.5703125" bestFit="1" customWidth="1"/>
    <col min="49" max="49" width="22.140625" bestFit="1" customWidth="1"/>
    <col min="50" max="50" width="21.7109375" bestFit="1" customWidth="1"/>
    <col min="51" max="51" width="22.140625" bestFit="1" customWidth="1"/>
    <col min="52" max="52" width="22.28515625" bestFit="1" customWidth="1"/>
    <col min="53" max="53" width="21.85546875" bestFit="1" customWidth="1"/>
    <col min="54" max="54" width="22.28515625" bestFit="1" customWidth="1"/>
  </cols>
  <sheetData>
    <row r="1" spans="1:2" ht="15.75" thickBot="1" x14ac:dyDescent="0.3"/>
    <row r="2" spans="1:2" ht="15.75" thickBot="1" x14ac:dyDescent="0.3">
      <c r="A2" s="13" t="s">
        <v>12</v>
      </c>
    </row>
    <row r="3" spans="1:2" x14ac:dyDescent="0.25">
      <c r="A3" s="7" t="s">
        <v>85</v>
      </c>
    </row>
    <row r="4" spans="1:2" x14ac:dyDescent="0.25">
      <c r="A4" s="8" t="s">
        <v>86</v>
      </c>
      <c r="B4" s="25"/>
    </row>
    <row r="5" spans="1:2" x14ac:dyDescent="0.25">
      <c r="A5" s="8" t="s">
        <v>87</v>
      </c>
      <c r="B5" s="25"/>
    </row>
    <row r="6" spans="1:2" x14ac:dyDescent="0.25">
      <c r="A6" s="8" t="s">
        <v>88</v>
      </c>
      <c r="B6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914E-4674-4601-98C6-9F2D5A09F8BA}">
  <sheetPr>
    <tabColor theme="5"/>
  </sheetPr>
  <dimension ref="A5:S106"/>
  <sheetViews>
    <sheetView topLeftCell="A55" zoomScale="90" zoomScaleNormal="90" workbookViewId="0"/>
  </sheetViews>
  <sheetFormatPr baseColWidth="10" defaultColWidth="11.5703125" defaultRowHeight="15" x14ac:dyDescent="0.25"/>
  <cols>
    <col min="1" max="18" width="11.5703125" style="1"/>
    <col min="19" max="19" width="11.5703125" style="2"/>
    <col min="20" max="16384" width="11.5703125" style="1"/>
  </cols>
  <sheetData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39" spans="1:1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65" spans="1: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73" spans="1: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106" spans="1: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</sheetData>
  <sheetProtection selectLockedCells="1"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1D71C-E4F0-4A79-8096-07CDFE9BE6E8}">
  <sheetPr>
    <tabColor theme="4"/>
  </sheetPr>
  <dimension ref="A5:S106"/>
  <sheetViews>
    <sheetView topLeftCell="F3" workbookViewId="0"/>
  </sheetViews>
  <sheetFormatPr baseColWidth="10" defaultColWidth="11.5703125" defaultRowHeight="15" x14ac:dyDescent="0.25"/>
  <cols>
    <col min="1" max="18" width="11.5703125" style="1"/>
    <col min="19" max="19" width="11.5703125" style="2"/>
    <col min="20" max="16384" width="11.5703125" style="1"/>
  </cols>
  <sheetData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38" spans="1:1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65" spans="1: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73" spans="1: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106" spans="1: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</sheetData>
  <sheetProtection selectLockedCells="1"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DD783-93AD-4F0E-A82E-0392AE632256}">
  <sheetPr>
    <tabColor theme="4"/>
  </sheetPr>
  <dimension ref="A1:AT20"/>
  <sheetViews>
    <sheetView zoomScale="90" zoomScaleNormal="90" workbookViewId="0">
      <selection activeCell="R27" sqref="R27"/>
    </sheetView>
  </sheetViews>
  <sheetFormatPr baseColWidth="10" defaultColWidth="11.5703125" defaultRowHeight="15" x14ac:dyDescent="0.25"/>
  <cols>
    <col min="1" max="1" width="19.28515625" style="1" customWidth="1"/>
    <col min="2" max="2" width="35.7109375" style="18" customWidth="1"/>
    <col min="3" max="23" width="30.7109375" style="18" customWidth="1"/>
    <col min="24" max="46" width="30.7109375" style="1" hidden="1" customWidth="1"/>
    <col min="47" max="16384" width="11.5703125" style="1"/>
  </cols>
  <sheetData>
    <row r="1" spans="1:4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4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4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4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46" s="3" customFormat="1" x14ac:dyDescent="0.25"/>
    <row r="6" spans="1:46" s="3" customFormat="1" x14ac:dyDescent="0.25"/>
    <row r="7" spans="1:46" s="3" customFormat="1" x14ac:dyDescent="0.25"/>
    <row r="8" spans="1:46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46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4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46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4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46" s="3" customFormat="1" x14ac:dyDescent="0.25"/>
    <row r="14" spans="1:4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4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 t="str">
        <f>Tableau_donnees_eau[[#Headers],[Item '[1']]]</f>
        <v>Item [1]</v>
      </c>
      <c r="Y15" s="1" t="str">
        <f>Tableau_donnees_eau[[#Headers],[Item '[2']]]</f>
        <v>Item [2]</v>
      </c>
      <c r="Z15" s="1" t="str">
        <f>Tableau_donnees_eau[[#Headers],[Item '[3']]]</f>
        <v>Item [3]</v>
      </c>
      <c r="AA15" s="1" t="str">
        <f>Tableau_donnees_eau[[#Headers],[Item '[4']]]</f>
        <v>Item [4]</v>
      </c>
      <c r="AB15" s="1" t="str">
        <f>Tableau_donnees_eau[[#Headers],[Item '[5']]]</f>
        <v>Item [5]</v>
      </c>
      <c r="AC15" s="1" t="str">
        <f>Tableau_donnees_eau[[#Headers],[Item '[6']]]</f>
        <v>Item [6]</v>
      </c>
      <c r="AD15" s="1" t="str">
        <f>Tableau_donnees_eau[[#Headers],[Item '[7']]]</f>
        <v>Item [7]</v>
      </c>
      <c r="AE15" s="1" t="str">
        <f>Tableau_donnees_eau[[#Headers],[Item '[8']]]</f>
        <v>Item [8]</v>
      </c>
      <c r="AF15" s="1" t="str">
        <f>Tableau_donnees_eau[[#Headers],[Item '[9']]]</f>
        <v>Item [9]</v>
      </c>
      <c r="AG15" s="1" t="str">
        <f>Tableau_donnees_eau[[#Headers],[Item '[10']]]</f>
        <v>Item [10]</v>
      </c>
      <c r="AH15" s="1" t="str">
        <f>Tableau_donnees_eau[[#Headers],[Item '[11']]]</f>
        <v>Item [11]</v>
      </c>
      <c r="AI15" s="1" t="str">
        <f>Tableau_donnees_eau[[#Headers],[Item '[12']]]</f>
        <v>Item [12]</v>
      </c>
      <c r="AJ15" s="1" t="str">
        <f>Tableau_donnees_eau[[#Headers],[Item '[13']]]</f>
        <v>Item [13]</v>
      </c>
      <c r="AK15" s="1" t="str">
        <f>Tableau_donnees_eau[[#Headers],[Item '[14']]]</f>
        <v>Item [14]</v>
      </c>
      <c r="AL15" s="1" t="str">
        <f>Tableau_donnees_eau[[#Headers],[Item '[15']]]</f>
        <v>Item [15]</v>
      </c>
      <c r="AM15" s="1" t="str">
        <f>Tableau_donnees_eau[[#Headers],[Item '[16']]]</f>
        <v>Item [16]</v>
      </c>
      <c r="AN15" s="1" t="str">
        <f>Tableau_donnees_eau[[#Headers],[Item '[17']]]</f>
        <v>Item [17]</v>
      </c>
      <c r="AO15" s="1" t="str">
        <f>Tableau_donnees_eau[[#Headers],[Item '[18']]]</f>
        <v>Item [18]</v>
      </c>
      <c r="AP15" s="1" t="str">
        <f>Tableau_donnees_eau[[#Headers],[Item '[19']]]</f>
        <v>Item [19]</v>
      </c>
      <c r="AQ15" s="1" t="str">
        <f>Tableau_donnees_eau[[#Headers],[Item '[20']]]</f>
        <v>Item [20]</v>
      </c>
    </row>
    <row r="16" spans="1:46" s="4" customFormat="1" x14ac:dyDescent="0.25">
      <c r="A16" s="5" t="s">
        <v>77</v>
      </c>
      <c r="B16" s="5" t="s">
        <v>29</v>
      </c>
      <c r="C16" s="5" t="s">
        <v>30</v>
      </c>
      <c r="D16" s="5" t="s">
        <v>31</v>
      </c>
      <c r="E16" s="5" t="s">
        <v>72</v>
      </c>
      <c r="F16" s="5" t="s">
        <v>73</v>
      </c>
      <c r="G16" s="5" t="s">
        <v>33</v>
      </c>
      <c r="H16" s="5" t="s">
        <v>34</v>
      </c>
      <c r="I16" s="5" t="s">
        <v>74</v>
      </c>
      <c r="J16" s="5" t="s">
        <v>36</v>
      </c>
      <c r="K16" s="5" t="s">
        <v>37</v>
      </c>
      <c r="L16" s="5" t="s">
        <v>38</v>
      </c>
      <c r="M16" s="5" t="s">
        <v>39</v>
      </c>
      <c r="N16" s="5" t="s">
        <v>40</v>
      </c>
      <c r="O16" s="5" t="s">
        <v>41</v>
      </c>
      <c r="P16" s="5" t="s">
        <v>42</v>
      </c>
      <c r="Q16" s="5" t="s">
        <v>43</v>
      </c>
      <c r="R16" s="5" t="s">
        <v>44</v>
      </c>
      <c r="S16" s="5" t="s">
        <v>45</v>
      </c>
      <c r="T16" s="5" t="s">
        <v>46</v>
      </c>
      <c r="U16" s="5" t="s">
        <v>47</v>
      </c>
      <c r="V16" s="5" t="s">
        <v>48</v>
      </c>
      <c r="W16" s="5" t="s">
        <v>49</v>
      </c>
      <c r="X16" s="5" t="s">
        <v>75</v>
      </c>
      <c r="Y16" s="5" t="s">
        <v>51</v>
      </c>
      <c r="Z16" s="5" t="s">
        <v>52</v>
      </c>
      <c r="AA16" s="5" t="s">
        <v>53</v>
      </c>
      <c r="AB16" s="5" t="s">
        <v>54</v>
      </c>
      <c r="AC16" s="5" t="s">
        <v>55</v>
      </c>
      <c r="AD16" s="5" t="s">
        <v>56</v>
      </c>
      <c r="AE16" s="5" t="s">
        <v>76</v>
      </c>
      <c r="AF16" s="5" t="s">
        <v>58</v>
      </c>
      <c r="AG16" s="5" t="s">
        <v>59</v>
      </c>
      <c r="AH16" s="5" t="s">
        <v>60</v>
      </c>
      <c r="AI16" s="5" t="s">
        <v>61</v>
      </c>
      <c r="AJ16" s="5" t="s">
        <v>62</v>
      </c>
      <c r="AK16" s="5" t="s">
        <v>63</v>
      </c>
      <c r="AL16" s="5" t="s">
        <v>64</v>
      </c>
      <c r="AM16" s="5" t="s">
        <v>65</v>
      </c>
      <c r="AN16" s="5" t="s">
        <v>66</v>
      </c>
      <c r="AO16" s="5" t="s">
        <v>67</v>
      </c>
      <c r="AP16" s="5" t="s">
        <v>68</v>
      </c>
      <c r="AQ16" s="5" t="s">
        <v>69</v>
      </c>
      <c r="AR16" s="5" t="s">
        <v>70</v>
      </c>
      <c r="AS16" s="5" t="s">
        <v>92</v>
      </c>
      <c r="AT16" s="5" t="s">
        <v>93</v>
      </c>
    </row>
    <row r="17" spans="1:46" x14ac:dyDescent="0.25">
      <c r="A17" s="6">
        <v>44562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>
        <f>VLOOKUP(Tableau_donnees_eau[[#This Row],[JAAR]],Tableau6[],3,FALSE)*Tableau_donnees_eau[[#This Row],[Item '[1']]]</f>
        <v>0</v>
      </c>
      <c r="Y17">
        <f>VLOOKUP(Tableau_donnees_eau[[#This Row],[JAAR]],Tableau6[],3,FALSE)*Tableau_donnees_eau[[#This Row],[Item '[2']]]</f>
        <v>0</v>
      </c>
      <c r="Z17">
        <f>VLOOKUP(Tableau_donnees_eau[[#This Row],[JAAR]],Tableau6[],3,FALSE)*Tableau_donnees_eau[[#This Row],[Item '[3']]]</f>
        <v>0</v>
      </c>
      <c r="AA17">
        <f>VLOOKUP(Tableau_donnees_eau[[#This Row],[JAAR]],Tableau6[],3,FALSE)*Tableau_donnees_eau[[#This Row],[Item '[4']]]</f>
        <v>0</v>
      </c>
      <c r="AB17">
        <f>VLOOKUP(Tableau_donnees_eau[[#This Row],[JAAR]],Tableau6[],3,FALSE)*Tableau_donnees_eau[[#This Row],[Item '[4']]]</f>
        <v>0</v>
      </c>
      <c r="AC17">
        <f>VLOOKUP(Tableau_donnees_eau[[#This Row],[JAAR]],Tableau6[],3,FALSE)*Tableau_donnees_eau[[#This Row],[Item '[6']]]</f>
        <v>0</v>
      </c>
      <c r="AD17">
        <f>VLOOKUP(Tableau_donnees_eau[[#This Row],[JAAR]],Tableau6[],3,FALSE)*Tableau_donnees_eau[[#This Row],[Item '[7']]]</f>
        <v>0</v>
      </c>
      <c r="AE17">
        <f>VLOOKUP(Tableau_donnees_eau[[#This Row],[JAAR]],Tableau6[],3,FALSE)*Tableau_donnees_eau[[#This Row],[Item '[8']]]</f>
        <v>0</v>
      </c>
      <c r="AF17">
        <f>VLOOKUP(Tableau_donnees_eau[[#This Row],[JAAR]],Tableau6[],3,FALSE)*Tableau_donnees_eau[[#This Row],[Item '[9']]]</f>
        <v>0</v>
      </c>
      <c r="AG17">
        <f>VLOOKUP(Tableau_donnees_eau[[#This Row],[JAAR]],Tableau6[],3,FALSE)*Tableau_donnees_eau[[#This Row],[Item '[10']]]</f>
        <v>0</v>
      </c>
      <c r="AH17">
        <f>VLOOKUP(Tableau_donnees_eau[[#This Row],[JAAR]],Tableau6[],3,FALSE)*Tableau_donnees_eau[[#This Row],[Item '[11']]]</f>
        <v>0</v>
      </c>
      <c r="AI17">
        <f>VLOOKUP(Tableau_donnees_eau[[#This Row],[JAAR]],Tableau6[],3,FALSE)*Tableau_donnees_eau[[#This Row],[Item '[12']]]</f>
        <v>0</v>
      </c>
      <c r="AJ17">
        <f>VLOOKUP(Tableau_donnees_eau[[#This Row],[JAAR]],Tableau6[],3,FALSE)*Tableau_donnees_eau[[#This Row],[Item '[13']]]</f>
        <v>0</v>
      </c>
      <c r="AK17">
        <f>VLOOKUP(Tableau_donnees_eau[[#This Row],[JAAR]],Tableau6[],3,FALSE)*Tableau_donnees_eau[[#This Row],[Item '[14']]]</f>
        <v>0</v>
      </c>
      <c r="AL17">
        <f>VLOOKUP(Tableau_donnees_eau[[#This Row],[JAAR]],Tableau6[],3,FALSE)*Tableau_donnees_eau[[#This Row],[Item '[15']]]</f>
        <v>0</v>
      </c>
      <c r="AM17">
        <f>VLOOKUP(Tableau_donnees_eau[[#This Row],[JAAR]],Tableau6[],3,FALSE)*Tableau_donnees_eau[[#This Row],[Item '[16']]]</f>
        <v>0</v>
      </c>
      <c r="AN17">
        <f>VLOOKUP(Tableau_donnees_eau[[#This Row],[JAAR]],Tableau6[],3,FALSE)*Tableau_donnees_eau[[#This Row],[Item '[17']]]</f>
        <v>0</v>
      </c>
      <c r="AO17">
        <f>VLOOKUP(Tableau_donnees_eau[[#This Row],[JAAR]],Tableau6[],3,FALSE)*Tableau_donnees_eau[[#This Row],[Item '[18']]]</f>
        <v>0</v>
      </c>
      <c r="AP17">
        <f>VLOOKUP(Tableau_donnees_eau[[#This Row],[JAAR]],Tableau6[],3,FALSE)*Tableau_donnees_eau[[#This Row],[Item '[19']]]</f>
        <v>0</v>
      </c>
      <c r="AQ17">
        <f>VLOOKUP(Tableau_donnees_eau[[#This Row],[JAAR]],Tableau6[],3,FALSE)*Tableau_donnees_eau[[#This Row],[Item '[20']]]</f>
        <v>0</v>
      </c>
      <c r="AR17">
        <f>VLOOKUP(Tableau_donnees_eau[[#This Row],[JAAR]],Tableau6[],3,FALSE)*Tableau_donnees_eau[[#This Row],[Totaal]]</f>
        <v>0</v>
      </c>
      <c r="AS17" t="str">
        <f>TEXT(Tableau_donnees_eau[[#This Row],[Mannd/Jaar ]],"mmmm")</f>
        <v>janvier</v>
      </c>
      <c r="AT17">
        <f>YEAR(Tableau_donnees_eau[[#This Row],[Mannd/Jaar ]])</f>
        <v>2022</v>
      </c>
    </row>
    <row r="18" spans="1:46" x14ac:dyDescent="0.25">
      <c r="A18" s="6">
        <v>44593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>
        <f>VLOOKUP(Tableau_donnees_eau[[#This Row],[JAAR]],Tableau6[],3,FALSE)*Tableau_donnees_eau[[#This Row],[Item '[1']]]</f>
        <v>0</v>
      </c>
      <c r="Y18">
        <f>VLOOKUP(Tableau_donnees_eau[[#This Row],[JAAR]],Tableau6[],3,FALSE)*Tableau_donnees_eau[[#This Row],[Item '[2']]]</f>
        <v>0</v>
      </c>
      <c r="Z18">
        <f>VLOOKUP(Tableau_donnees_eau[[#This Row],[JAAR]],Tableau6[],3,FALSE)*Tableau_donnees_eau[[#This Row],[Item '[3']]]</f>
        <v>0</v>
      </c>
      <c r="AA18">
        <f>VLOOKUP(Tableau_donnees_eau[[#This Row],[JAAR]],Tableau6[],3,FALSE)*Tableau_donnees_eau[[#This Row],[Item '[4']]]</f>
        <v>0</v>
      </c>
      <c r="AB18">
        <f>VLOOKUP(Tableau_donnees_eau[[#This Row],[JAAR]],Tableau6[],3,FALSE)*Tableau_donnees_eau[[#This Row],[Item '[4']]]</f>
        <v>0</v>
      </c>
      <c r="AC18">
        <f>VLOOKUP(Tableau_donnees_eau[[#This Row],[JAAR]],Tableau6[],3,FALSE)*Tableau_donnees_eau[[#This Row],[Item '[6']]]</f>
        <v>0</v>
      </c>
      <c r="AD18">
        <f>VLOOKUP(Tableau_donnees_eau[[#This Row],[JAAR]],Tableau6[],3,FALSE)*Tableau_donnees_eau[[#This Row],[Item '[7']]]</f>
        <v>0</v>
      </c>
      <c r="AE18">
        <f>VLOOKUP(Tableau_donnees_eau[[#This Row],[JAAR]],Tableau6[],3,FALSE)*Tableau_donnees_eau[[#This Row],[Item '[8']]]</f>
        <v>0</v>
      </c>
      <c r="AF18">
        <f>VLOOKUP(Tableau_donnees_eau[[#This Row],[JAAR]],Tableau6[],3,FALSE)*Tableau_donnees_eau[[#This Row],[Item '[9']]]</f>
        <v>0</v>
      </c>
      <c r="AG18">
        <f>VLOOKUP(Tableau_donnees_eau[[#This Row],[JAAR]],Tableau6[],3,FALSE)*Tableau_donnees_eau[[#This Row],[Item '[10']]]</f>
        <v>0</v>
      </c>
      <c r="AH18">
        <f>VLOOKUP(Tableau_donnees_eau[[#This Row],[JAAR]],Tableau6[],3,FALSE)*Tableau_donnees_eau[[#This Row],[Item '[11']]]</f>
        <v>0</v>
      </c>
      <c r="AI18">
        <f>VLOOKUP(Tableau_donnees_eau[[#This Row],[JAAR]],Tableau6[],3,FALSE)*Tableau_donnees_eau[[#This Row],[Item '[12']]]</f>
        <v>0</v>
      </c>
      <c r="AJ18">
        <f>VLOOKUP(Tableau_donnees_eau[[#This Row],[JAAR]],Tableau6[],3,FALSE)*Tableau_donnees_eau[[#This Row],[Item '[13']]]</f>
        <v>0</v>
      </c>
      <c r="AK18">
        <f>VLOOKUP(Tableau_donnees_eau[[#This Row],[JAAR]],Tableau6[],3,FALSE)*Tableau_donnees_eau[[#This Row],[Item '[14']]]</f>
        <v>0</v>
      </c>
      <c r="AL18">
        <f>VLOOKUP(Tableau_donnees_eau[[#This Row],[JAAR]],Tableau6[],3,FALSE)*Tableau_donnees_eau[[#This Row],[Item '[15']]]</f>
        <v>0</v>
      </c>
      <c r="AM18">
        <f>VLOOKUP(Tableau_donnees_eau[[#This Row],[JAAR]],Tableau6[],3,FALSE)*Tableau_donnees_eau[[#This Row],[Item '[16']]]</f>
        <v>0</v>
      </c>
      <c r="AN18">
        <f>VLOOKUP(Tableau_donnees_eau[[#This Row],[JAAR]],Tableau6[],3,FALSE)*Tableau_donnees_eau[[#This Row],[Item '[17']]]</f>
        <v>0</v>
      </c>
      <c r="AO18">
        <f>VLOOKUP(Tableau_donnees_eau[[#This Row],[JAAR]],Tableau6[],3,FALSE)*Tableau_donnees_eau[[#This Row],[Item '[18']]]</f>
        <v>0</v>
      </c>
      <c r="AP18">
        <f>VLOOKUP(Tableau_donnees_eau[[#This Row],[JAAR]],Tableau6[],3,FALSE)*Tableau_donnees_eau[[#This Row],[Item '[19']]]</f>
        <v>0</v>
      </c>
      <c r="AQ18">
        <f>VLOOKUP(Tableau_donnees_eau[[#This Row],[JAAR]],Tableau6[],3,FALSE)*Tableau_donnees_eau[[#This Row],[Item '[20']]]</f>
        <v>0</v>
      </c>
      <c r="AR18">
        <f>VLOOKUP(Tableau_donnees_eau[[#This Row],[JAAR]],Tableau6[],3,FALSE)*Tableau_donnees_eau[[#This Row],[Totaal]]</f>
        <v>0</v>
      </c>
      <c r="AS18" t="str">
        <f>TEXT(Tableau_donnees_eau[[#This Row],[Mannd/Jaar ]],"mmmm")</f>
        <v>février</v>
      </c>
      <c r="AT18">
        <f>YEAR(Tableau_donnees_eau[[#This Row],[Mannd/Jaar ]])</f>
        <v>2022</v>
      </c>
    </row>
    <row r="19" spans="1:46" x14ac:dyDescent="0.25">
      <c r="A19" s="6">
        <v>44621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>
        <f>VLOOKUP(Tableau_donnees_eau[[#This Row],[JAAR]],Tableau6[],3,FALSE)*Tableau_donnees_eau[[#This Row],[Item '[1']]]</f>
        <v>0</v>
      </c>
      <c r="Y19">
        <f>VLOOKUP(Tableau_donnees_eau[[#This Row],[JAAR]],Tableau6[],3,FALSE)*Tableau_donnees_eau[[#This Row],[Item '[2']]]</f>
        <v>0</v>
      </c>
      <c r="Z19">
        <f>VLOOKUP(Tableau_donnees_eau[[#This Row],[JAAR]],Tableau6[],3,FALSE)*Tableau_donnees_eau[[#This Row],[Item '[3']]]</f>
        <v>0</v>
      </c>
      <c r="AA19">
        <f>VLOOKUP(Tableau_donnees_eau[[#This Row],[JAAR]],Tableau6[],3,FALSE)*Tableau_donnees_eau[[#This Row],[Item '[4']]]</f>
        <v>0</v>
      </c>
      <c r="AB19">
        <f>VLOOKUP(Tableau_donnees_eau[[#This Row],[JAAR]],Tableau6[],3,FALSE)*Tableau_donnees_eau[[#This Row],[Item '[4']]]</f>
        <v>0</v>
      </c>
      <c r="AC19">
        <f>VLOOKUP(Tableau_donnees_eau[[#This Row],[JAAR]],Tableau6[],3,FALSE)*Tableau_donnees_eau[[#This Row],[Item '[6']]]</f>
        <v>0</v>
      </c>
      <c r="AD19">
        <f>VLOOKUP(Tableau_donnees_eau[[#This Row],[JAAR]],Tableau6[],3,FALSE)*Tableau_donnees_eau[[#This Row],[Item '[7']]]</f>
        <v>0</v>
      </c>
      <c r="AE19">
        <f>VLOOKUP(Tableau_donnees_eau[[#This Row],[JAAR]],Tableau6[],3,FALSE)*Tableau_donnees_eau[[#This Row],[Item '[8']]]</f>
        <v>0</v>
      </c>
      <c r="AF19">
        <f>VLOOKUP(Tableau_donnees_eau[[#This Row],[JAAR]],Tableau6[],3,FALSE)*Tableau_donnees_eau[[#This Row],[Item '[9']]]</f>
        <v>0</v>
      </c>
      <c r="AG19">
        <f>VLOOKUP(Tableau_donnees_eau[[#This Row],[JAAR]],Tableau6[],3,FALSE)*Tableau_donnees_eau[[#This Row],[Item '[10']]]</f>
        <v>0</v>
      </c>
      <c r="AH19">
        <f>VLOOKUP(Tableau_donnees_eau[[#This Row],[JAAR]],Tableau6[],3,FALSE)*Tableau_donnees_eau[[#This Row],[Item '[11']]]</f>
        <v>0</v>
      </c>
      <c r="AI19">
        <f>VLOOKUP(Tableau_donnees_eau[[#This Row],[JAAR]],Tableau6[],3,FALSE)*Tableau_donnees_eau[[#This Row],[Item '[12']]]</f>
        <v>0</v>
      </c>
      <c r="AJ19">
        <f>VLOOKUP(Tableau_donnees_eau[[#This Row],[JAAR]],Tableau6[],3,FALSE)*Tableau_donnees_eau[[#This Row],[Item '[13']]]</f>
        <v>0</v>
      </c>
      <c r="AK19">
        <f>VLOOKUP(Tableau_donnees_eau[[#This Row],[JAAR]],Tableau6[],3,FALSE)*Tableau_donnees_eau[[#This Row],[Item '[14']]]</f>
        <v>0</v>
      </c>
      <c r="AL19">
        <f>VLOOKUP(Tableau_donnees_eau[[#This Row],[JAAR]],Tableau6[],3,FALSE)*Tableau_donnees_eau[[#This Row],[Item '[15']]]</f>
        <v>0</v>
      </c>
      <c r="AM19">
        <f>VLOOKUP(Tableau_donnees_eau[[#This Row],[JAAR]],Tableau6[],3,FALSE)*Tableau_donnees_eau[[#This Row],[Item '[16']]]</f>
        <v>0</v>
      </c>
      <c r="AN19">
        <f>VLOOKUP(Tableau_donnees_eau[[#This Row],[JAAR]],Tableau6[],3,FALSE)*Tableau_donnees_eau[[#This Row],[Item '[17']]]</f>
        <v>0</v>
      </c>
      <c r="AO19">
        <f>VLOOKUP(Tableau_donnees_eau[[#This Row],[JAAR]],Tableau6[],3,FALSE)*Tableau_donnees_eau[[#This Row],[Item '[18']]]</f>
        <v>0</v>
      </c>
      <c r="AP19">
        <f>VLOOKUP(Tableau_donnees_eau[[#This Row],[JAAR]],Tableau6[],3,FALSE)*Tableau_donnees_eau[[#This Row],[Item '[19']]]</f>
        <v>0</v>
      </c>
      <c r="AQ19">
        <f>VLOOKUP(Tableau_donnees_eau[[#This Row],[JAAR]],Tableau6[],3,FALSE)*Tableau_donnees_eau[[#This Row],[Item '[20']]]</f>
        <v>0</v>
      </c>
      <c r="AR19">
        <f>VLOOKUP(Tableau_donnees_eau[[#This Row],[JAAR]],Tableau6[],3,FALSE)*Tableau_donnees_eau[[#This Row],[Totaal]]</f>
        <v>0</v>
      </c>
      <c r="AS19" t="str">
        <f>TEXT(Tableau_donnees_eau[[#This Row],[Mannd/Jaar ]],"mmmm")</f>
        <v>mars</v>
      </c>
      <c r="AT19">
        <f>YEAR(Tableau_donnees_eau[[#This Row],[Mannd/Jaar ]])</f>
        <v>2022</v>
      </c>
    </row>
    <row r="20" spans="1:46" x14ac:dyDescent="0.25">
      <c r="A20" s="15"/>
    </row>
  </sheetData>
  <sheetProtection selectLockedCells="1"/>
  <dataValidations count="1">
    <dataValidation operator="greaterThan" allowBlank="1" showInputMessage="1" showErrorMessage="1" sqref="C17:W19" xr:uid="{A41407C0-8ABE-4711-B419-6426B0A626C3}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3C489-079B-4252-BC7D-5CA686B57D9C}">
  <sheetPr>
    <tabColor theme="5"/>
  </sheetPr>
  <dimension ref="A1:AT19"/>
  <sheetViews>
    <sheetView topLeftCell="AU1" zoomScaleNormal="100" workbookViewId="0">
      <selection activeCell="AT1" sqref="X1:AT1048576"/>
    </sheetView>
  </sheetViews>
  <sheetFormatPr baseColWidth="10" defaultColWidth="11.5703125" defaultRowHeight="15" x14ac:dyDescent="0.25"/>
  <cols>
    <col min="1" max="1" width="19.28515625" style="1" customWidth="1"/>
    <col min="2" max="2" width="35.7109375" style="18" customWidth="1"/>
    <col min="3" max="23" width="30.7109375" style="18" customWidth="1"/>
    <col min="24" max="46" width="30.7109375" style="1" hidden="1" customWidth="1"/>
    <col min="47" max="16384" width="11.5703125" style="1"/>
  </cols>
  <sheetData>
    <row r="1" spans="1:4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4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4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4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46" s="3" customFormat="1" x14ac:dyDescent="0.25"/>
    <row r="6" spans="1:46" s="3" customFormat="1" x14ac:dyDescent="0.25"/>
    <row r="7" spans="1:46" s="3" customFormat="1" x14ac:dyDescent="0.25"/>
    <row r="8" spans="1:46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46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4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46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46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46" s="3" customFormat="1" x14ac:dyDescent="0.25"/>
    <row r="14" spans="1:4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4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 t="str">
        <f>Tableau_donnes_gaz[[#Headers],[Item '[1']]]</f>
        <v>Item [1]</v>
      </c>
      <c r="Y15" s="1" t="str">
        <f>Tableau_donnes_gaz[[#Headers],[Item '[2']]]</f>
        <v>Item [2]</v>
      </c>
      <c r="Z15" s="1" t="str">
        <f>Tableau_donnes_gaz[[#Headers],[Item '[3']]]</f>
        <v>Item [3]</v>
      </c>
      <c r="AA15" s="1" t="str">
        <f>Tableau_donnes_gaz[[#Headers],[Item '[4']]]</f>
        <v>Item [4]</v>
      </c>
      <c r="AB15" s="1" t="str">
        <f>Tableau_donnes_gaz[[#Headers],[Item '[5']]]</f>
        <v>Item [5]</v>
      </c>
      <c r="AC15" s="1" t="str">
        <f>Tableau_donnes_gaz[[#Headers],[Item '[6']]]</f>
        <v>Item [6]</v>
      </c>
      <c r="AD15" s="1" t="str">
        <f>Tableau_donnes_gaz[[#Headers],[Item '[7']]]</f>
        <v>Item [7]</v>
      </c>
      <c r="AE15" s="1" t="str">
        <f>Tableau_donnes_gaz[[#Headers],[Item '[8']]]</f>
        <v>Item [8]</v>
      </c>
      <c r="AF15" s="1" t="str">
        <f>Tableau_donnes_gaz[[#Headers],[Item '[9']]]</f>
        <v>Item [9]</v>
      </c>
      <c r="AG15" s="1" t="str">
        <f>Tableau_donnes_gaz[[#Headers],[Item '[10']]]</f>
        <v>Item [10]</v>
      </c>
      <c r="AH15" s="1" t="str">
        <f>Tableau_donnes_gaz[[#Headers],[Item '[11']]]</f>
        <v>Item [11]</v>
      </c>
      <c r="AI15" s="1" t="str">
        <f>Tableau_donnes_gaz[[#Headers],[Item '[12']]]</f>
        <v>Item [12]</v>
      </c>
      <c r="AJ15" s="1" t="str">
        <f>Tableau_donnes_gaz[[#Headers],[Item '[13']]]</f>
        <v>Item [13]</v>
      </c>
      <c r="AK15" s="1" t="str">
        <f>Tableau_donnes_gaz[[#Headers],[Item '[14']]]</f>
        <v>Item [14]</v>
      </c>
      <c r="AL15" s="1" t="str">
        <f>Tableau_donnes_gaz[[#Headers],[Item '[15']]]</f>
        <v>Item [15]</v>
      </c>
      <c r="AM15" s="1" t="str">
        <f>Tableau_donnes_gaz[[#Headers],[Item '[16']]]</f>
        <v>Item [16]</v>
      </c>
      <c r="AN15" s="1" t="str">
        <f>Tableau_donnes_gaz[[#Headers],[Item '[17']]]</f>
        <v>Item [17]</v>
      </c>
      <c r="AO15" s="1" t="str">
        <f>Tableau_donnes_gaz[[#Headers],[Item '[18']]]</f>
        <v>Item [18]</v>
      </c>
      <c r="AP15" s="1" t="str">
        <f>Tableau_donnes_gaz[[#Headers],[Item '[19']]]</f>
        <v>Item [19]</v>
      </c>
      <c r="AQ15" s="1" t="str">
        <f>Tableau_donnes_gaz[[#Headers],[Item '[20']]]</f>
        <v>Item [20]</v>
      </c>
    </row>
    <row r="16" spans="1:46" s="4" customFormat="1" x14ac:dyDescent="0.25">
      <c r="A16" s="5" t="s">
        <v>71</v>
      </c>
      <c r="B16" s="5" t="s">
        <v>29</v>
      </c>
      <c r="C16" s="5" t="s">
        <v>30</v>
      </c>
      <c r="D16" s="5" t="s">
        <v>31</v>
      </c>
      <c r="E16" s="5" t="s">
        <v>72</v>
      </c>
      <c r="F16" s="5" t="s">
        <v>73</v>
      </c>
      <c r="G16" s="5" t="s">
        <v>33</v>
      </c>
      <c r="H16" s="5" t="s">
        <v>34</v>
      </c>
      <c r="I16" s="5" t="s">
        <v>74</v>
      </c>
      <c r="J16" s="5" t="s">
        <v>36</v>
      </c>
      <c r="K16" s="5" t="s">
        <v>37</v>
      </c>
      <c r="L16" s="5" t="s">
        <v>38</v>
      </c>
      <c r="M16" s="5" t="s">
        <v>39</v>
      </c>
      <c r="N16" s="5" t="s">
        <v>40</v>
      </c>
      <c r="O16" s="5" t="s">
        <v>41</v>
      </c>
      <c r="P16" s="5" t="s">
        <v>42</v>
      </c>
      <c r="Q16" s="5" t="s">
        <v>43</v>
      </c>
      <c r="R16" s="5" t="s">
        <v>44</v>
      </c>
      <c r="S16" s="5" t="s">
        <v>45</v>
      </c>
      <c r="T16" s="5" t="s">
        <v>46</v>
      </c>
      <c r="U16" s="5" t="s">
        <v>47</v>
      </c>
      <c r="V16" s="5" t="s">
        <v>48</v>
      </c>
      <c r="W16" s="5" t="s">
        <v>49</v>
      </c>
      <c r="X16" s="5" t="s">
        <v>75</v>
      </c>
      <c r="Y16" s="5" t="s">
        <v>51</v>
      </c>
      <c r="Z16" s="5" t="s">
        <v>52</v>
      </c>
      <c r="AA16" s="5" t="s">
        <v>53</v>
      </c>
      <c r="AB16" s="5" t="s">
        <v>54</v>
      </c>
      <c r="AC16" s="5" t="s">
        <v>55</v>
      </c>
      <c r="AD16" s="5" t="s">
        <v>56</v>
      </c>
      <c r="AE16" s="5" t="s">
        <v>76</v>
      </c>
      <c r="AF16" s="5" t="s">
        <v>58</v>
      </c>
      <c r="AG16" s="5" t="s">
        <v>59</v>
      </c>
      <c r="AH16" s="5" t="s">
        <v>60</v>
      </c>
      <c r="AI16" s="5" t="s">
        <v>61</v>
      </c>
      <c r="AJ16" s="5" t="s">
        <v>62</v>
      </c>
      <c r="AK16" s="5" t="s">
        <v>63</v>
      </c>
      <c r="AL16" s="5" t="s">
        <v>64</v>
      </c>
      <c r="AM16" s="5" t="s">
        <v>65</v>
      </c>
      <c r="AN16" s="5" t="s">
        <v>66</v>
      </c>
      <c r="AO16" s="5" t="s">
        <v>67</v>
      </c>
      <c r="AP16" s="5" t="s">
        <v>68</v>
      </c>
      <c r="AQ16" s="5" t="s">
        <v>69</v>
      </c>
      <c r="AR16" s="5" t="s">
        <v>70</v>
      </c>
      <c r="AS16" s="5" t="s">
        <v>92</v>
      </c>
      <c r="AT16" s="5" t="s">
        <v>93</v>
      </c>
    </row>
    <row r="17" spans="1:46" x14ac:dyDescent="0.25">
      <c r="A17" s="6">
        <v>44562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>
        <f>VLOOKUP(Tableau_donnes_gaz[[#This Row],[JAAR]],Tableau6[],4,FALSE)*Tableau_donnes_gaz[[#This Row],[Item '[1']]]</f>
        <v>0</v>
      </c>
      <c r="Y17">
        <f>VLOOKUP(Tableau_donnes_gaz[[#This Row],[JAAR]],Tableau6[],4,FALSE)*Tableau_donnes_gaz[[#This Row],[Item '[2']]]</f>
        <v>0</v>
      </c>
      <c r="Z17">
        <f>VLOOKUP(Tableau_donnes_gaz[[#This Row],[JAAR]],Tableau6[],4,FALSE)*Tableau_donnes_gaz[[#This Row],[Item '[3']]]</f>
        <v>0</v>
      </c>
      <c r="AA17">
        <f>VLOOKUP(Tableau_donnes_gaz[[#This Row],[JAAR]],Tableau6[],4,FALSE)*Tableau_donnes_gaz[[#This Row],[Item '[4']]]</f>
        <v>0</v>
      </c>
      <c r="AB17">
        <f>VLOOKUP(Tableau_donnes_gaz[[#This Row],[JAAR]],Tableau6[],4,FALSE)*Tableau_donnes_gaz[[#This Row],[Item '[4']]]</f>
        <v>0</v>
      </c>
      <c r="AC17">
        <f>VLOOKUP(Tableau_donnes_gaz[[#This Row],[JAAR]],Tableau6[],4,FALSE)*Tableau_donnes_gaz[[#This Row],[Item '[6']]]</f>
        <v>0</v>
      </c>
      <c r="AD17">
        <f>VLOOKUP(Tableau_donnes_gaz[[#This Row],[JAAR]],Tableau6[],4,FALSE)*Tableau_donnes_gaz[[#This Row],[Item '[7']]]</f>
        <v>0</v>
      </c>
      <c r="AE17">
        <f>VLOOKUP(Tableau_donnes_gaz[[#This Row],[JAAR]],Tableau6[],4,FALSE)*Tableau_donnes_gaz[[#This Row],[Item '[8']]]</f>
        <v>0</v>
      </c>
      <c r="AF17">
        <f>VLOOKUP(Tableau_donnes_gaz[[#This Row],[JAAR]],Tableau6[],4,FALSE)*Tableau_donnes_gaz[[#This Row],[Item '[9']]]</f>
        <v>0</v>
      </c>
      <c r="AG17">
        <f>VLOOKUP(Tableau_donnes_gaz[[#This Row],[JAAR]],Tableau6[],4,FALSE)*Tableau_donnes_gaz[[#This Row],[Item '[10']]]</f>
        <v>0</v>
      </c>
      <c r="AH17">
        <f>VLOOKUP(Tableau_donnes_gaz[[#This Row],[JAAR]],Tableau6[],4,FALSE)*Tableau_donnes_gaz[[#This Row],[Item '[11']]]</f>
        <v>0</v>
      </c>
      <c r="AI17">
        <f>VLOOKUP(Tableau_donnes_gaz[[#This Row],[JAAR]],Tableau6[],4,FALSE)*Tableau_donnes_gaz[[#This Row],[Item '[12']]]</f>
        <v>0</v>
      </c>
      <c r="AJ17">
        <f>VLOOKUP(Tableau_donnes_gaz[[#This Row],[JAAR]],Tableau6[],4,FALSE)*Tableau_donnes_gaz[[#This Row],[Item '[13']]]</f>
        <v>0</v>
      </c>
      <c r="AK17">
        <f>VLOOKUP(Tableau_donnes_gaz[[#This Row],[JAAR]],Tableau6[],4,FALSE)*Tableau_donnes_gaz[[#This Row],[Item '[14']]]</f>
        <v>0</v>
      </c>
      <c r="AL17">
        <f>VLOOKUP(Tableau_donnes_gaz[[#This Row],[JAAR]],Tableau6[],4,FALSE)*Tableau_donnes_gaz[[#This Row],[Item '[15']]]</f>
        <v>0</v>
      </c>
      <c r="AM17">
        <f>VLOOKUP(Tableau_donnes_gaz[[#This Row],[JAAR]],Tableau6[],4,FALSE)*Tableau_donnes_gaz[[#This Row],[Item '[16']]]</f>
        <v>0</v>
      </c>
      <c r="AN17">
        <f>VLOOKUP(Tableau_donnes_gaz[[#This Row],[JAAR]],Tableau6[],4,FALSE)*Tableau_donnes_gaz[[#This Row],[Item '[17']]]</f>
        <v>0</v>
      </c>
      <c r="AO17">
        <f>VLOOKUP(Tableau_donnes_gaz[[#This Row],[JAAR]],Tableau6[],4,FALSE)*Tableau_donnes_gaz[[#This Row],[Item '[18']]]</f>
        <v>0</v>
      </c>
      <c r="AP17">
        <f>VLOOKUP(Tableau_donnes_gaz[[#This Row],[JAAR]],Tableau6[],4,FALSE)*Tableau_donnes_gaz[[#This Row],[Item '[19']]]</f>
        <v>0</v>
      </c>
      <c r="AQ17">
        <f>VLOOKUP(Tableau_donnes_gaz[[#This Row],[JAAR]],Tableau6[],4,FALSE)*Tableau_donnes_gaz[[#This Row],[Item '[20']]]</f>
        <v>0</v>
      </c>
      <c r="AR17">
        <f>VLOOKUP(Tableau_donnes_gaz[[#This Row],[JAAR]],Tableau6[],4,FALSE)*Tableau_donnes_gaz[[#This Row],[Totaal]]</f>
        <v>0</v>
      </c>
      <c r="AS17" t="str">
        <f>TEXT(Tableau_donnes_gaz[[#This Row],[Mannd/Jaar]],"mmmm")</f>
        <v>janvier</v>
      </c>
      <c r="AT17">
        <f>YEAR(Tableau_donnes_gaz[[#This Row],[Mannd/Jaar]])</f>
        <v>2022</v>
      </c>
    </row>
    <row r="18" spans="1:46" x14ac:dyDescent="0.25">
      <c r="A18" s="6">
        <v>44593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>
        <f>VLOOKUP(Tableau_donnes_gaz[[#This Row],[JAAR]],Tableau6[],4,FALSE)*Tableau_donnes_gaz[[#This Row],[Item '[1']]]</f>
        <v>0</v>
      </c>
      <c r="Y18">
        <f>VLOOKUP(Tableau_donnes_gaz[[#This Row],[JAAR]],Tableau6[],4,FALSE)*Tableau_donnes_gaz[[#This Row],[Item '[2']]]</f>
        <v>0</v>
      </c>
      <c r="Z18">
        <f>VLOOKUP(Tableau_donnes_gaz[[#This Row],[JAAR]],Tableau6[],4,FALSE)*Tableau_donnes_gaz[[#This Row],[Item '[3']]]</f>
        <v>0</v>
      </c>
      <c r="AA18">
        <f>VLOOKUP(Tableau_donnes_gaz[[#This Row],[JAAR]],Tableau6[],4,FALSE)*Tableau_donnes_gaz[[#This Row],[Item '[4']]]</f>
        <v>0</v>
      </c>
      <c r="AB18">
        <f>VLOOKUP(Tableau_donnes_gaz[[#This Row],[JAAR]],Tableau6[],4,FALSE)*Tableau_donnes_gaz[[#This Row],[Item '[4']]]</f>
        <v>0</v>
      </c>
      <c r="AC18">
        <f>VLOOKUP(Tableau_donnes_gaz[[#This Row],[JAAR]],Tableau6[],4,FALSE)*Tableau_donnes_gaz[[#This Row],[Item '[6']]]</f>
        <v>0</v>
      </c>
      <c r="AD18">
        <f>VLOOKUP(Tableau_donnes_gaz[[#This Row],[JAAR]],Tableau6[],4,FALSE)*Tableau_donnes_gaz[[#This Row],[Item '[7']]]</f>
        <v>0</v>
      </c>
      <c r="AE18">
        <f>VLOOKUP(Tableau_donnes_gaz[[#This Row],[JAAR]],Tableau6[],4,FALSE)*Tableau_donnes_gaz[[#This Row],[Item '[8']]]</f>
        <v>0</v>
      </c>
      <c r="AF18">
        <f>VLOOKUP(Tableau_donnes_gaz[[#This Row],[JAAR]],Tableau6[],4,FALSE)*Tableau_donnes_gaz[[#This Row],[Item '[9']]]</f>
        <v>0</v>
      </c>
      <c r="AG18">
        <f>VLOOKUP(Tableau_donnes_gaz[[#This Row],[JAAR]],Tableau6[],4,FALSE)*Tableau_donnes_gaz[[#This Row],[Item '[10']]]</f>
        <v>0</v>
      </c>
      <c r="AH18">
        <f>VLOOKUP(Tableau_donnes_gaz[[#This Row],[JAAR]],Tableau6[],4,FALSE)*Tableau_donnes_gaz[[#This Row],[Item '[11']]]</f>
        <v>0</v>
      </c>
      <c r="AI18">
        <f>VLOOKUP(Tableau_donnes_gaz[[#This Row],[JAAR]],Tableau6[],4,FALSE)*Tableau_donnes_gaz[[#This Row],[Item '[12']]]</f>
        <v>0</v>
      </c>
      <c r="AJ18">
        <f>VLOOKUP(Tableau_donnes_gaz[[#This Row],[JAAR]],Tableau6[],4,FALSE)*Tableau_donnes_gaz[[#This Row],[Item '[13']]]</f>
        <v>0</v>
      </c>
      <c r="AK18">
        <f>VLOOKUP(Tableau_donnes_gaz[[#This Row],[JAAR]],Tableau6[],4,FALSE)*Tableau_donnes_gaz[[#This Row],[Item '[14']]]</f>
        <v>0</v>
      </c>
      <c r="AL18">
        <f>VLOOKUP(Tableau_donnes_gaz[[#This Row],[JAAR]],Tableau6[],4,FALSE)*Tableau_donnes_gaz[[#This Row],[Item '[15']]]</f>
        <v>0</v>
      </c>
      <c r="AM18">
        <f>VLOOKUP(Tableau_donnes_gaz[[#This Row],[JAAR]],Tableau6[],4,FALSE)*Tableau_donnes_gaz[[#This Row],[Item '[16']]]</f>
        <v>0</v>
      </c>
      <c r="AN18">
        <f>VLOOKUP(Tableau_donnes_gaz[[#This Row],[JAAR]],Tableau6[],4,FALSE)*Tableau_donnes_gaz[[#This Row],[Item '[17']]]</f>
        <v>0</v>
      </c>
      <c r="AO18">
        <f>VLOOKUP(Tableau_donnes_gaz[[#This Row],[JAAR]],Tableau6[],4,FALSE)*Tableau_donnes_gaz[[#This Row],[Item '[18']]]</f>
        <v>0</v>
      </c>
      <c r="AP18">
        <f>VLOOKUP(Tableau_donnes_gaz[[#This Row],[JAAR]],Tableau6[],4,FALSE)*Tableau_donnes_gaz[[#This Row],[Item '[19']]]</f>
        <v>0</v>
      </c>
      <c r="AQ18">
        <f>VLOOKUP(Tableau_donnes_gaz[[#This Row],[JAAR]],Tableau6[],4,FALSE)*Tableau_donnes_gaz[[#This Row],[Item '[20']]]</f>
        <v>0</v>
      </c>
      <c r="AR18">
        <f>VLOOKUP(Tableau_donnes_gaz[[#This Row],[JAAR]],Tableau6[],4,FALSE)*Tableau_donnes_gaz[[#This Row],[Totaal]]</f>
        <v>0</v>
      </c>
      <c r="AS18" t="str">
        <f>TEXT(Tableau_donnes_gaz[[#This Row],[Mannd/Jaar]],"mmmm")</f>
        <v>février</v>
      </c>
      <c r="AT18">
        <f>YEAR(Tableau_donnes_gaz[[#This Row],[Mannd/Jaar]])</f>
        <v>2022</v>
      </c>
    </row>
    <row r="19" spans="1:46" x14ac:dyDescent="0.25">
      <c r="A19" s="6">
        <v>44621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>
        <f>VLOOKUP(Tableau_donnes_gaz[[#This Row],[JAAR]],Tableau6[],4,FALSE)*Tableau_donnes_gaz[[#This Row],[Item '[1']]]</f>
        <v>0</v>
      </c>
      <c r="Y19">
        <f>VLOOKUP(Tableau_donnes_gaz[[#This Row],[JAAR]],Tableau6[],4,FALSE)*Tableau_donnes_gaz[[#This Row],[Item '[2']]]</f>
        <v>0</v>
      </c>
      <c r="Z19">
        <f>VLOOKUP(Tableau_donnes_gaz[[#This Row],[JAAR]],Tableau6[],4,FALSE)*Tableau_donnes_gaz[[#This Row],[Item '[3']]]</f>
        <v>0</v>
      </c>
      <c r="AA19">
        <f>VLOOKUP(Tableau_donnes_gaz[[#This Row],[JAAR]],Tableau6[],4,FALSE)*Tableau_donnes_gaz[[#This Row],[Item '[4']]]</f>
        <v>0</v>
      </c>
      <c r="AB19">
        <f>VLOOKUP(Tableau_donnes_gaz[[#This Row],[JAAR]],Tableau6[],4,FALSE)*Tableau_donnes_gaz[[#This Row],[Item '[4']]]</f>
        <v>0</v>
      </c>
      <c r="AC19">
        <f>VLOOKUP(Tableau_donnes_gaz[[#This Row],[JAAR]],Tableau6[],4,FALSE)*Tableau_donnes_gaz[[#This Row],[Item '[6']]]</f>
        <v>0</v>
      </c>
      <c r="AD19">
        <f>VLOOKUP(Tableau_donnes_gaz[[#This Row],[JAAR]],Tableau6[],4,FALSE)*Tableau_donnes_gaz[[#This Row],[Item '[7']]]</f>
        <v>0</v>
      </c>
      <c r="AE19">
        <f>VLOOKUP(Tableau_donnes_gaz[[#This Row],[JAAR]],Tableau6[],4,FALSE)*Tableau_donnes_gaz[[#This Row],[Item '[8']]]</f>
        <v>0</v>
      </c>
      <c r="AF19">
        <f>VLOOKUP(Tableau_donnes_gaz[[#This Row],[JAAR]],Tableau6[],4,FALSE)*Tableau_donnes_gaz[[#This Row],[Item '[9']]]</f>
        <v>0</v>
      </c>
      <c r="AG19">
        <f>VLOOKUP(Tableau_donnes_gaz[[#This Row],[JAAR]],Tableau6[],4,FALSE)*Tableau_donnes_gaz[[#This Row],[Item '[10']]]</f>
        <v>0</v>
      </c>
      <c r="AH19">
        <f>VLOOKUP(Tableau_donnes_gaz[[#This Row],[JAAR]],Tableau6[],4,FALSE)*Tableau_donnes_gaz[[#This Row],[Item '[11']]]</f>
        <v>0</v>
      </c>
      <c r="AI19">
        <f>VLOOKUP(Tableau_donnes_gaz[[#This Row],[JAAR]],Tableau6[],4,FALSE)*Tableau_donnes_gaz[[#This Row],[Item '[12']]]</f>
        <v>0</v>
      </c>
      <c r="AJ19">
        <f>VLOOKUP(Tableau_donnes_gaz[[#This Row],[JAAR]],Tableau6[],4,FALSE)*Tableau_donnes_gaz[[#This Row],[Item '[13']]]</f>
        <v>0</v>
      </c>
      <c r="AK19">
        <f>VLOOKUP(Tableau_donnes_gaz[[#This Row],[JAAR]],Tableau6[],4,FALSE)*Tableau_donnes_gaz[[#This Row],[Item '[14']]]</f>
        <v>0</v>
      </c>
      <c r="AL19">
        <f>VLOOKUP(Tableau_donnes_gaz[[#This Row],[JAAR]],Tableau6[],4,FALSE)*Tableau_donnes_gaz[[#This Row],[Item '[15']]]</f>
        <v>0</v>
      </c>
      <c r="AM19">
        <f>VLOOKUP(Tableau_donnes_gaz[[#This Row],[JAAR]],Tableau6[],4,FALSE)*Tableau_donnes_gaz[[#This Row],[Item '[16']]]</f>
        <v>0</v>
      </c>
      <c r="AN19">
        <f>VLOOKUP(Tableau_donnes_gaz[[#This Row],[JAAR]],Tableau6[],4,FALSE)*Tableau_donnes_gaz[[#This Row],[Item '[17']]]</f>
        <v>0</v>
      </c>
      <c r="AO19">
        <f>VLOOKUP(Tableau_donnes_gaz[[#This Row],[JAAR]],Tableau6[],4,FALSE)*Tableau_donnes_gaz[[#This Row],[Item '[18']]]</f>
        <v>0</v>
      </c>
      <c r="AP19">
        <f>VLOOKUP(Tableau_donnes_gaz[[#This Row],[JAAR]],Tableau6[],4,FALSE)*Tableau_donnes_gaz[[#This Row],[Item '[19']]]</f>
        <v>0</v>
      </c>
      <c r="AQ19">
        <f>VLOOKUP(Tableau_donnes_gaz[[#This Row],[JAAR]],Tableau6[],4,FALSE)*Tableau_donnes_gaz[[#This Row],[Item '[20']]]</f>
        <v>0</v>
      </c>
      <c r="AR19">
        <f>VLOOKUP(Tableau_donnes_gaz[[#This Row],[JAAR]],Tableau6[],4,FALSE)*Tableau_donnes_gaz[[#This Row],[Totaal]]</f>
        <v>0</v>
      </c>
      <c r="AS19" t="str">
        <f>TEXT(Tableau_donnes_gaz[[#This Row],[Mannd/Jaar]],"mmmm")</f>
        <v>mars</v>
      </c>
      <c r="AT19">
        <f>YEAR(Tableau_donnes_gaz[[#This Row],[Mannd/Jaar]])</f>
        <v>2022</v>
      </c>
    </row>
  </sheetData>
  <sheetProtection selectLockedCells="1"/>
  <dataValidations count="2">
    <dataValidation type="decimal" operator="greaterThan" allowBlank="1" showInputMessage="1" showErrorMessage="1" sqref="W17:W19" xr:uid="{E82140B7-93DE-4AB1-B6E9-A931423D6A73}">
      <formula1>0</formula1>
    </dataValidation>
    <dataValidation operator="greaterThan" allowBlank="1" showInputMessage="1" showErrorMessage="1" sqref="C17:V19" xr:uid="{849FB71A-FF45-47A8-9FCE-FFE204A6B663}"/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3FC8-2764-4C5A-A3C1-BA0C5BCC2B20}">
  <sheetPr>
    <tabColor theme="7"/>
  </sheetPr>
  <dimension ref="A1:XFD1048576"/>
  <sheetViews>
    <sheetView topLeftCell="U1" workbookViewId="0">
      <selection activeCell="W23" sqref="W23"/>
    </sheetView>
  </sheetViews>
  <sheetFormatPr baseColWidth="10" defaultColWidth="11.5703125" defaultRowHeight="15" x14ac:dyDescent="0.25"/>
  <cols>
    <col min="1" max="1" width="19.28515625" style="1" customWidth="1"/>
    <col min="2" max="2" width="35.7109375" style="18" customWidth="1"/>
    <col min="3" max="22" width="30.7109375" style="18" customWidth="1"/>
    <col min="23" max="23" width="30.7109375" style="1" customWidth="1"/>
    <col min="24" max="46" width="30.7109375" style="1" hidden="1" customWidth="1"/>
    <col min="47" max="47" width="30.28515625" style="1" customWidth="1"/>
    <col min="48" max="16384" width="11.5703125" style="1"/>
  </cols>
  <sheetData>
    <row r="1" spans="1:4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4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4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4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7" s="3" customFormat="1" x14ac:dyDescent="0.25"/>
    <row r="6" spans="1:47" s="3" customFormat="1" x14ac:dyDescent="0.25"/>
    <row r="7" spans="1:47" s="3" customFormat="1" x14ac:dyDescent="0.25"/>
    <row r="8" spans="1:47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47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47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47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47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47" s="3" customFormat="1" x14ac:dyDescent="0.25"/>
    <row r="14" spans="1:4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47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X15" s="1" t="str">
        <f>Tableau_donnees_elec[[#Headers],[Item '[1']]]</f>
        <v>Item [1]</v>
      </c>
      <c r="Y15" s="1" t="str">
        <f>Tableau_donnees_elec[[#Headers],[Item '[2']]]</f>
        <v>Item [2]</v>
      </c>
      <c r="Z15" s="1" t="str">
        <f>Tableau_donnees_elec[[#Headers],[Item '[3'] ]]</f>
        <v xml:space="preserve">Item [3] </v>
      </c>
      <c r="AA15" s="1" t="str">
        <f>Tableau_donnees_elec[[#Headers],[Item '[4'] ]]</f>
        <v xml:space="preserve">Item [4] </v>
      </c>
      <c r="AB15" s="1" t="str">
        <f>Tableau_donnees_elec[[#Headers],[Item '[5']]]</f>
        <v>Item [5]</v>
      </c>
      <c r="AC15" s="1" t="str">
        <f>Tableau_donnees_elec[[#Headers],[Item '[6']]]</f>
        <v>Item [6]</v>
      </c>
      <c r="AD15" s="1" t="str">
        <f>Tableau_donnees_elec[[#Headers],[Item '[7'] ]]</f>
        <v xml:space="preserve">Item [7] </v>
      </c>
      <c r="AE15" s="1" t="str">
        <f>Tableau_donnees_elec[[#Headers],[Item '[8']]]</f>
        <v>Item [8]</v>
      </c>
      <c r="AF15" s="1" t="str">
        <f>Tableau_donnees_elec[[#Headers],[Item '[9']]]</f>
        <v>Item [9]</v>
      </c>
      <c r="AG15" s="1" t="str">
        <f>Tableau_donnees_elec[[#Headers],[Item '[10']]]</f>
        <v>Item [10]</v>
      </c>
      <c r="AH15" s="1" t="str">
        <f>Tableau_donnees_elec[[#Headers],[Item '[11']]]</f>
        <v>Item [11]</v>
      </c>
      <c r="AI15" s="1" t="str">
        <f>Tableau_donnees_elec[[#Headers],[Item '[12']]]</f>
        <v>Item [12]</v>
      </c>
      <c r="AJ15" s="1" t="str">
        <f>Tableau_donnees_elec[[#Headers],[Item '[13']]]</f>
        <v>Item [13]</v>
      </c>
      <c r="AK15" s="1" t="str">
        <f>Tableau_donnees_elec[[#Headers],[Item '[14']]]</f>
        <v>Item [14]</v>
      </c>
      <c r="AL15" s="1" t="str">
        <f>Tableau_donnees_elec[[#Headers],[Item '[15']]]</f>
        <v>Item [15]</v>
      </c>
      <c r="AM15" s="1" t="str">
        <f>Tableau_donnees_elec[[#Headers],[Item '[16']]]</f>
        <v>Item [16]</v>
      </c>
      <c r="AN15" s="1" t="str">
        <f>Tableau_donnees_elec[[#Headers],[Item '[17']]]</f>
        <v>Item [17]</v>
      </c>
      <c r="AO15" s="1" t="str">
        <f>Tableau_donnees_elec[[#Headers],[Item '[18']]]</f>
        <v>Item [18]</v>
      </c>
      <c r="AP15" s="1" t="str">
        <f>Tableau_donnees_elec[[#Headers],[Item '[19']]]</f>
        <v>Item [19]</v>
      </c>
      <c r="AQ15" s="1" t="str">
        <f>Tableau_donnees_elec[[#Headers],[Item '[20']]]</f>
        <v>Item [20]</v>
      </c>
    </row>
    <row r="16" spans="1:47" s="4" customFormat="1" x14ac:dyDescent="0.25">
      <c r="A16" s="5" t="s">
        <v>28</v>
      </c>
      <c r="B16" s="5" t="s">
        <v>29</v>
      </c>
      <c r="C16" s="5" t="s">
        <v>30</v>
      </c>
      <c r="D16" s="5" t="s">
        <v>31</v>
      </c>
      <c r="E16" s="5" t="s">
        <v>78</v>
      </c>
      <c r="F16" s="5" t="s">
        <v>32</v>
      </c>
      <c r="G16" s="5" t="s">
        <v>33</v>
      </c>
      <c r="H16" s="5" t="s">
        <v>34</v>
      </c>
      <c r="I16" s="5" t="s">
        <v>35</v>
      </c>
      <c r="J16" s="5" t="s">
        <v>36</v>
      </c>
      <c r="K16" s="5" t="s">
        <v>37</v>
      </c>
      <c r="L16" s="5" t="s">
        <v>38</v>
      </c>
      <c r="M16" s="5" t="s">
        <v>39</v>
      </c>
      <c r="N16" s="5" t="s">
        <v>40</v>
      </c>
      <c r="O16" s="5" t="s">
        <v>41</v>
      </c>
      <c r="P16" s="5" t="s">
        <v>42</v>
      </c>
      <c r="Q16" s="5" t="s">
        <v>43</v>
      </c>
      <c r="R16" s="5" t="s">
        <v>44</v>
      </c>
      <c r="S16" s="5" t="s">
        <v>45</v>
      </c>
      <c r="T16" s="5" t="s">
        <v>46</v>
      </c>
      <c r="U16" s="5" t="s">
        <v>47</v>
      </c>
      <c r="V16" s="5" t="s">
        <v>48</v>
      </c>
      <c r="W16" s="5" t="s">
        <v>49</v>
      </c>
      <c r="X16" s="5" t="s">
        <v>50</v>
      </c>
      <c r="Y16" s="5" t="s">
        <v>51</v>
      </c>
      <c r="Z16" s="5" t="s">
        <v>52</v>
      </c>
      <c r="AA16" s="5" t="s">
        <v>53</v>
      </c>
      <c r="AB16" s="5" t="s">
        <v>54</v>
      </c>
      <c r="AC16" s="5" t="s">
        <v>55</v>
      </c>
      <c r="AD16" s="5" t="s">
        <v>56</v>
      </c>
      <c r="AE16" s="5" t="s">
        <v>57</v>
      </c>
      <c r="AF16" s="5" t="s">
        <v>58</v>
      </c>
      <c r="AG16" s="5" t="s">
        <v>59</v>
      </c>
      <c r="AH16" s="5" t="s">
        <v>60</v>
      </c>
      <c r="AI16" s="5" t="s">
        <v>61</v>
      </c>
      <c r="AJ16" s="5" t="s">
        <v>62</v>
      </c>
      <c r="AK16" s="5" t="s">
        <v>63</v>
      </c>
      <c r="AL16" s="5" t="s">
        <v>64</v>
      </c>
      <c r="AM16" s="5" t="s">
        <v>65</v>
      </c>
      <c r="AN16" s="5" t="s">
        <v>66</v>
      </c>
      <c r="AO16" s="5" t="s">
        <v>67</v>
      </c>
      <c r="AP16" s="5" t="s">
        <v>68</v>
      </c>
      <c r="AQ16" s="5" t="s">
        <v>69</v>
      </c>
      <c r="AR16" s="5" t="s">
        <v>70</v>
      </c>
      <c r="AS16" s="5" t="s">
        <v>92</v>
      </c>
      <c r="AT16" s="5" t="s">
        <v>93</v>
      </c>
      <c r="AU16" s="21"/>
    </row>
    <row r="17" spans="1:47" x14ac:dyDescent="0.25">
      <c r="A17" s="6">
        <v>44562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/>
      <c r="X17">
        <f>VLOOKUP(Tableau_donnees_elec[[#This Row],[JAAR]],Tableau6[],2,FALSE)*Tableau_donnees_elec[[#This Row],[Item '[1']]]</f>
        <v>0</v>
      </c>
      <c r="Y17">
        <f>VLOOKUP(Tableau_donnees_elec[[#This Row],[JAAR]],Tableau6[],2,FALSE)*Tableau_donnees_elec[[#This Row],[Item '[2']]]</f>
        <v>0</v>
      </c>
      <c r="Z17">
        <f>VLOOKUP(Tableau_donnees_elec[[#This Row],[JAAR]],Tableau6[],2,FALSE)*Tableau_donnees_elec[[#This Row],[Item '[3'] ]]</f>
        <v>0</v>
      </c>
      <c r="AA17">
        <f>VLOOKUP(Tableau_donnees_elec[[#This Row],[JAAR]],Tableau6[],2,FALSE)*Tableau_donnees_elec[[#This Row],[Item '[4'] ]]</f>
        <v>0</v>
      </c>
      <c r="AB17">
        <f>VLOOKUP(Tableau_donnees_elec[[#This Row],[JAAR]],Tableau6[],2,FALSE)*Tableau_donnees_elec[[#This Row],[Item '[4'] ]]</f>
        <v>0</v>
      </c>
      <c r="AC17">
        <f>VLOOKUP(Tableau_donnees_elec[[#This Row],[JAAR]],Tableau6[],2,FALSE)*Tableau_donnees_elec[[#This Row],[Item '[6']]]</f>
        <v>0</v>
      </c>
      <c r="AD17">
        <f>VLOOKUP(Tableau_donnees_elec[[#This Row],[JAAR]],Tableau6[],2,FALSE)*Tableau_donnees_elec[[#This Row],[Item '[7'] ]]</f>
        <v>0</v>
      </c>
      <c r="AE17">
        <f>VLOOKUP(Tableau_donnees_elec[[#This Row],[JAAR]],Tableau6[],2,FALSE)*Tableau_donnees_elec[[#This Row],[Item '[8']]]</f>
        <v>0</v>
      </c>
      <c r="AF17">
        <f>VLOOKUP(Tableau_donnees_elec[[#This Row],[JAAR]],Tableau6[],2,FALSE)*Tableau_donnees_elec[[#This Row],[Item '[9']]]</f>
        <v>0</v>
      </c>
      <c r="AG17">
        <f>VLOOKUP(Tableau_donnees_elec[[#This Row],[JAAR]],Tableau6[],2,FALSE)*Tableau_donnees_elec[[#This Row],[Item '[10']]]</f>
        <v>0</v>
      </c>
      <c r="AH17">
        <f>VLOOKUP(Tableau_donnees_elec[[#This Row],[JAAR]],Tableau6[],2,FALSE)*Tableau_donnees_elec[[#This Row],[Item '[11']]]</f>
        <v>0</v>
      </c>
      <c r="AI17">
        <f>VLOOKUP(Tableau_donnees_elec[[#This Row],[JAAR]],Tableau6[],2,FALSE)*Tableau_donnees_elec[[#This Row],[Item '[12']]]</f>
        <v>0</v>
      </c>
      <c r="AJ17">
        <f>VLOOKUP(Tableau_donnees_elec[[#This Row],[JAAR]],Tableau6[],2,FALSE)*Tableau_donnees_elec[[#This Row],[Item '[13']]]</f>
        <v>0</v>
      </c>
      <c r="AK17">
        <f>VLOOKUP(Tableau_donnees_elec[[#This Row],[JAAR]],Tableau6[],2,FALSE)*Tableau_donnees_elec[[#This Row],[Item '[14']]]</f>
        <v>0</v>
      </c>
      <c r="AL17">
        <f>VLOOKUP(Tableau_donnees_elec[[#This Row],[JAAR]],Tableau6[],2,FALSE)*Tableau_donnees_elec[[#This Row],[Item '[15']]]</f>
        <v>0</v>
      </c>
      <c r="AM17">
        <f>VLOOKUP(Tableau_donnees_elec[[#This Row],[JAAR]],Tableau6[],2,FALSE)*Tableau_donnees_elec[[#This Row],[Item '[16']]]</f>
        <v>0</v>
      </c>
      <c r="AN17">
        <f>VLOOKUP(Tableau_donnees_elec[[#This Row],[JAAR]],Tableau6[],2,FALSE)*Tableau_donnees_elec[[#This Row],[Item '[17']]]</f>
        <v>0</v>
      </c>
      <c r="AO17">
        <f>VLOOKUP(Tableau_donnees_elec[[#This Row],[JAAR]],Tableau6[],2,FALSE)*Tableau_donnees_elec[[#This Row],[Item '[18']]]</f>
        <v>0</v>
      </c>
      <c r="AP17">
        <f>VLOOKUP(Tableau_donnees_elec[[#This Row],[JAAR]],Tableau6[],2,FALSE)*Tableau_donnees_elec[[#This Row],[Item '[19']]]</f>
        <v>0</v>
      </c>
      <c r="AQ17">
        <f>VLOOKUP(Tableau_donnees_elec[[#This Row],[JAAR]],Tableau6[],2,FALSE)*Tableau_donnees_elec[[#This Row],[Item '[20']]]</f>
        <v>0</v>
      </c>
      <c r="AR17">
        <f>VLOOKUP(Tableau_donnees_elec[[#This Row],[JAAR]],Tableau6[],2,FALSE)*Tableau_donnees_elec[[#This Row],[Totaal]]</f>
        <v>0</v>
      </c>
      <c r="AS17" t="str">
        <f>TEXT(Tableau_donnees_elec[[#This Row],[Maand/Jaar]],"mmmm")</f>
        <v>janvier</v>
      </c>
      <c r="AT17">
        <f>YEAR(Tableau_donnees_elec[[#This Row],[Maand/Jaar]])</f>
        <v>2022</v>
      </c>
      <c r="AU17" s="21"/>
    </row>
    <row r="18" spans="1:47" x14ac:dyDescent="0.25">
      <c r="A18" s="6">
        <v>44593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/>
      <c r="X18">
        <f>VLOOKUP(Tableau_donnees_elec[[#This Row],[JAAR]],Tableau6[],2,FALSE)*Tableau_donnees_elec[[#This Row],[Item '[1']]]</f>
        <v>0</v>
      </c>
      <c r="Y18">
        <f>VLOOKUP(Tableau_donnees_elec[[#This Row],[JAAR]],Tableau6[],2,FALSE)*Tableau_donnees_elec[[#This Row],[Item '[2']]]</f>
        <v>0</v>
      </c>
      <c r="Z18">
        <f>VLOOKUP(Tableau_donnees_elec[[#This Row],[JAAR]],Tableau6[],2,FALSE)*Tableau_donnees_elec[[#This Row],[Item '[3'] ]]</f>
        <v>0</v>
      </c>
      <c r="AA18">
        <f>VLOOKUP(Tableau_donnees_elec[[#This Row],[JAAR]],Tableau6[],2,FALSE)*Tableau_donnees_elec[[#This Row],[Item '[4'] ]]</f>
        <v>0</v>
      </c>
      <c r="AB18">
        <f>VLOOKUP(Tableau_donnees_elec[[#This Row],[JAAR]],Tableau6[],2,FALSE)*Tableau_donnees_elec[[#This Row],[Item '[4'] ]]</f>
        <v>0</v>
      </c>
      <c r="AC18">
        <f>VLOOKUP(Tableau_donnees_elec[[#This Row],[JAAR]],Tableau6[],2,FALSE)*Tableau_donnees_elec[[#This Row],[Item '[6']]]</f>
        <v>0</v>
      </c>
      <c r="AD18">
        <f>VLOOKUP(Tableau_donnees_elec[[#This Row],[JAAR]],Tableau6[],2,FALSE)*Tableau_donnees_elec[[#This Row],[Item '[7'] ]]</f>
        <v>0</v>
      </c>
      <c r="AE18">
        <f>VLOOKUP(Tableau_donnees_elec[[#This Row],[JAAR]],Tableau6[],2,FALSE)*Tableau_donnees_elec[[#This Row],[Item '[8']]]</f>
        <v>0</v>
      </c>
      <c r="AF18">
        <f>VLOOKUP(Tableau_donnees_elec[[#This Row],[JAAR]],Tableau6[],2,FALSE)*Tableau_donnees_elec[[#This Row],[Item '[9']]]</f>
        <v>0</v>
      </c>
      <c r="AG18">
        <f>VLOOKUP(Tableau_donnees_elec[[#This Row],[JAAR]],Tableau6[],2,FALSE)*Tableau_donnees_elec[[#This Row],[Item '[10']]]</f>
        <v>0</v>
      </c>
      <c r="AH18">
        <f>VLOOKUP(Tableau_donnees_elec[[#This Row],[JAAR]],Tableau6[],2,FALSE)*Tableau_donnees_elec[[#This Row],[Item '[11']]]</f>
        <v>0</v>
      </c>
      <c r="AI18">
        <f>VLOOKUP(Tableau_donnees_elec[[#This Row],[JAAR]],Tableau6[],2,FALSE)*Tableau_donnees_elec[[#This Row],[Item '[12']]]</f>
        <v>0</v>
      </c>
      <c r="AJ18">
        <f>VLOOKUP(Tableau_donnees_elec[[#This Row],[JAAR]],Tableau6[],2,FALSE)*Tableau_donnees_elec[[#This Row],[Item '[13']]]</f>
        <v>0</v>
      </c>
      <c r="AK18">
        <f>VLOOKUP(Tableau_donnees_elec[[#This Row],[JAAR]],Tableau6[],2,FALSE)*Tableau_donnees_elec[[#This Row],[Item '[14']]]</f>
        <v>0</v>
      </c>
      <c r="AL18">
        <f>VLOOKUP(Tableau_donnees_elec[[#This Row],[JAAR]],Tableau6[],2,FALSE)*Tableau_donnees_elec[[#This Row],[Item '[15']]]</f>
        <v>0</v>
      </c>
      <c r="AM18">
        <f>VLOOKUP(Tableau_donnees_elec[[#This Row],[JAAR]],Tableau6[],2,FALSE)*Tableau_donnees_elec[[#This Row],[Item '[16']]]</f>
        <v>0</v>
      </c>
      <c r="AN18">
        <f>VLOOKUP(Tableau_donnees_elec[[#This Row],[JAAR]],Tableau6[],2,FALSE)*Tableau_donnees_elec[[#This Row],[Item '[17']]]</f>
        <v>0</v>
      </c>
      <c r="AO18">
        <f>VLOOKUP(Tableau_donnees_elec[[#This Row],[JAAR]],Tableau6[],2,FALSE)*Tableau_donnees_elec[[#This Row],[Item '[18']]]</f>
        <v>0</v>
      </c>
      <c r="AP18">
        <f>VLOOKUP(Tableau_donnees_elec[[#This Row],[JAAR]],Tableau6[],2,FALSE)*Tableau_donnees_elec[[#This Row],[Item '[19']]]</f>
        <v>0</v>
      </c>
      <c r="AQ18">
        <f>VLOOKUP(Tableau_donnees_elec[[#This Row],[JAAR]],Tableau6[],2,FALSE)*Tableau_donnees_elec[[#This Row],[Item '[20']]]</f>
        <v>0</v>
      </c>
      <c r="AR18">
        <f>VLOOKUP(Tableau_donnees_elec[[#This Row],[JAAR]],Tableau6[],2,FALSE)*Tableau_donnees_elec[[#This Row],[Totaal]]</f>
        <v>0</v>
      </c>
      <c r="AS18" t="str">
        <f>TEXT(Tableau_donnees_elec[[#This Row],[Maand/Jaar]],"mmmm")</f>
        <v>février</v>
      </c>
      <c r="AT18">
        <f>YEAR(Tableau_donnees_elec[[#This Row],[Maand/Jaar]])</f>
        <v>2022</v>
      </c>
      <c r="AU18" s="21"/>
    </row>
    <row r="19" spans="1:47" x14ac:dyDescent="0.25">
      <c r="A19" s="6">
        <v>44621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/>
      <c r="X19">
        <f>VLOOKUP(Tableau_donnees_elec[[#This Row],[JAAR]],Tableau6[],2,FALSE)*Tableau_donnees_elec[[#This Row],[Item '[1']]]</f>
        <v>0</v>
      </c>
      <c r="Y19">
        <f>VLOOKUP(Tableau_donnees_elec[[#This Row],[JAAR]],Tableau6[],2,FALSE)*Tableau_donnees_elec[[#This Row],[Item '[2']]]</f>
        <v>0</v>
      </c>
      <c r="Z19">
        <f>VLOOKUP(Tableau_donnees_elec[[#This Row],[JAAR]],Tableau6[],2,FALSE)*Tableau_donnees_elec[[#This Row],[Item '[3'] ]]</f>
        <v>0</v>
      </c>
      <c r="AA19">
        <f>VLOOKUP(Tableau_donnees_elec[[#This Row],[JAAR]],Tableau6[],2,FALSE)*Tableau_donnees_elec[[#This Row],[Item '[4'] ]]</f>
        <v>0</v>
      </c>
      <c r="AB19">
        <f>VLOOKUP(Tableau_donnees_elec[[#This Row],[JAAR]],Tableau6[],2,FALSE)*Tableau_donnees_elec[[#This Row],[Item '[4'] ]]</f>
        <v>0</v>
      </c>
      <c r="AC19">
        <f>VLOOKUP(Tableau_donnees_elec[[#This Row],[JAAR]],Tableau6[],2,FALSE)*Tableau_donnees_elec[[#This Row],[Item '[6']]]</f>
        <v>0</v>
      </c>
      <c r="AD19">
        <f>VLOOKUP(Tableau_donnees_elec[[#This Row],[JAAR]],Tableau6[],2,FALSE)*Tableau_donnees_elec[[#This Row],[Item '[7'] ]]</f>
        <v>0</v>
      </c>
      <c r="AE19">
        <f>VLOOKUP(Tableau_donnees_elec[[#This Row],[JAAR]],Tableau6[],2,FALSE)*Tableau_donnees_elec[[#This Row],[Item '[8']]]</f>
        <v>0</v>
      </c>
      <c r="AF19">
        <f>VLOOKUP(Tableau_donnees_elec[[#This Row],[JAAR]],Tableau6[],2,FALSE)*Tableau_donnees_elec[[#This Row],[Item '[9']]]</f>
        <v>0</v>
      </c>
      <c r="AG19">
        <f>VLOOKUP(Tableau_donnees_elec[[#This Row],[JAAR]],Tableau6[],2,FALSE)*Tableau_donnees_elec[[#This Row],[Item '[10']]]</f>
        <v>0</v>
      </c>
      <c r="AH19">
        <f>VLOOKUP(Tableau_donnees_elec[[#This Row],[JAAR]],Tableau6[],2,FALSE)*Tableau_donnees_elec[[#This Row],[Item '[11']]]</f>
        <v>0</v>
      </c>
      <c r="AI19">
        <f>VLOOKUP(Tableau_donnees_elec[[#This Row],[JAAR]],Tableau6[],2,FALSE)*Tableau_donnees_elec[[#This Row],[Item '[12']]]</f>
        <v>0</v>
      </c>
      <c r="AJ19">
        <f>VLOOKUP(Tableau_donnees_elec[[#This Row],[JAAR]],Tableau6[],2,FALSE)*Tableau_donnees_elec[[#This Row],[Item '[13']]]</f>
        <v>0</v>
      </c>
      <c r="AK19">
        <f>VLOOKUP(Tableau_donnees_elec[[#This Row],[JAAR]],Tableau6[],2,FALSE)*Tableau_donnees_elec[[#This Row],[Item '[14']]]</f>
        <v>0</v>
      </c>
      <c r="AL19">
        <f>VLOOKUP(Tableau_donnees_elec[[#This Row],[JAAR]],Tableau6[],2,FALSE)*Tableau_donnees_elec[[#This Row],[Item '[15']]]</f>
        <v>0</v>
      </c>
      <c r="AM19">
        <f>VLOOKUP(Tableau_donnees_elec[[#This Row],[JAAR]],Tableau6[],2,FALSE)*Tableau_donnees_elec[[#This Row],[Item '[16']]]</f>
        <v>0</v>
      </c>
      <c r="AN19">
        <f>VLOOKUP(Tableau_donnees_elec[[#This Row],[JAAR]],Tableau6[],2,FALSE)*Tableau_donnees_elec[[#This Row],[Item '[17']]]</f>
        <v>0</v>
      </c>
      <c r="AO19">
        <f>VLOOKUP(Tableau_donnees_elec[[#This Row],[JAAR]],Tableau6[],2,FALSE)*Tableau_donnees_elec[[#This Row],[Item '[18']]]</f>
        <v>0</v>
      </c>
      <c r="AP19">
        <f>VLOOKUP(Tableau_donnees_elec[[#This Row],[JAAR]],Tableau6[],2,FALSE)*Tableau_donnees_elec[[#This Row],[Item '[19']]]</f>
        <v>0</v>
      </c>
      <c r="AQ19">
        <f>VLOOKUP(Tableau_donnees_elec[[#This Row],[JAAR]],Tableau6[],2,FALSE)*Tableau_donnees_elec[[#This Row],[Item '[20']]]</f>
        <v>0</v>
      </c>
      <c r="AR19">
        <f>VLOOKUP(Tableau_donnees_elec[[#This Row],[JAAR]],Tableau6[],2,FALSE)*Tableau_donnees_elec[[#This Row],[Totaal]]</f>
        <v>0</v>
      </c>
      <c r="AS19" t="str">
        <f>TEXT(Tableau_donnees_elec[[#This Row],[Maand/Jaar]],"mmmm")</f>
        <v>mars</v>
      </c>
      <c r="AT19">
        <f>YEAR(Tableau_donnees_elec[[#This Row],[Maand/Jaar]])</f>
        <v>2022</v>
      </c>
      <c r="AU19" s="21"/>
    </row>
    <row r="25" spans="1:47" x14ac:dyDescent="0.25">
      <c r="U25" s="19"/>
    </row>
    <row r="1048575" spans="16384:16384" x14ac:dyDescent="0.25">
      <c r="XFD1048575" s="16"/>
    </row>
    <row r="1048576" spans="16384:16384" x14ac:dyDescent="0.25">
      <c r="XFD1048576" s="16"/>
    </row>
  </sheetData>
  <sheetProtection selectLockedCells="1"/>
  <mergeCells count="1">
    <mergeCell ref="AU16:AU19"/>
  </mergeCells>
  <dataValidations count="2">
    <dataValidation type="decimal" operator="greaterThan" allowBlank="1" showInputMessage="1" showErrorMessage="1" sqref="W17:W19" xr:uid="{9AFC2836-9039-4D6C-835A-168360F75AAD}">
      <formula1>0</formula1>
    </dataValidation>
    <dataValidation operator="greaterThan" allowBlank="1" showInputMessage="1" showErrorMessage="1" sqref="C17:V19" xr:uid="{621C5045-FAE1-4F0A-AEC5-07E3978BCF91}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86785-B64B-4F37-9712-67B7108E685A}">
  <sheetPr>
    <tabColor theme="9" tint="0.39997558519241921"/>
  </sheetPr>
  <dimension ref="B5:XFD1048576"/>
  <sheetViews>
    <sheetView workbookViewId="0"/>
  </sheetViews>
  <sheetFormatPr baseColWidth="10" defaultColWidth="11.5703125" defaultRowHeight="15" x14ac:dyDescent="0.25"/>
  <cols>
    <col min="1" max="2" width="11.5703125" style="1"/>
    <col min="3" max="3" width="14.28515625" style="1" customWidth="1"/>
    <col min="4" max="4" width="11.5703125" style="1"/>
    <col min="5" max="5" width="17.7109375" style="1" customWidth="1"/>
    <col min="6" max="16384" width="11.5703125" style="1"/>
  </cols>
  <sheetData>
    <row r="5" spans="2:5" ht="15.75" thickBot="1" x14ac:dyDescent="0.3"/>
    <row r="6" spans="2:5" ht="15.75" thickBot="1" x14ac:dyDescent="0.3">
      <c r="B6" s="22" t="s">
        <v>79</v>
      </c>
      <c r="C6" s="23"/>
      <c r="D6" s="23"/>
      <c r="E6" s="24"/>
    </row>
    <row r="7" spans="2:5" x14ac:dyDescent="0.25">
      <c r="B7" t="s">
        <v>83</v>
      </c>
      <c r="C7" t="s">
        <v>80</v>
      </c>
      <c r="D7" t="s">
        <v>81</v>
      </c>
      <c r="E7" t="s">
        <v>82</v>
      </c>
    </row>
    <row r="8" spans="2:5" x14ac:dyDescent="0.25">
      <c r="B8">
        <v>2022</v>
      </c>
      <c r="C8"/>
      <c r="D8"/>
      <c r="E8"/>
    </row>
    <row r="9" spans="2:5" x14ac:dyDescent="0.25">
      <c r="B9">
        <v>2023</v>
      </c>
      <c r="C9"/>
      <c r="D9"/>
      <c r="E9"/>
    </row>
    <row r="10" spans="2:5" x14ac:dyDescent="0.25">
      <c r="B10">
        <v>2024</v>
      </c>
      <c r="C10"/>
      <c r="D10"/>
      <c r="E10"/>
    </row>
    <row r="11" spans="2:5" x14ac:dyDescent="0.25">
      <c r="B11">
        <v>2025</v>
      </c>
      <c r="C11"/>
      <c r="D11"/>
      <c r="E11"/>
    </row>
    <row r="12" spans="2:5" x14ac:dyDescent="0.25">
      <c r="B12">
        <v>2026</v>
      </c>
      <c r="C12"/>
      <c r="D12"/>
      <c r="E12"/>
    </row>
    <row r="1048576" spans="16384:16384" x14ac:dyDescent="0.25">
      <c r="XFD1048576" s="16" t="s">
        <v>27</v>
      </c>
    </row>
  </sheetData>
  <sheetProtection selectLockedCells="1" selectUnlockedCells="1"/>
  <mergeCells count="1">
    <mergeCell ref="B6:E6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0CB87-B100-4EF0-928E-46744831D723}">
  <sheetPr>
    <tabColor theme="4" tint="0.79998168889431442"/>
  </sheetPr>
  <dimension ref="A1:C27"/>
  <sheetViews>
    <sheetView topLeftCell="A19" workbookViewId="0">
      <selection activeCell="C33" sqref="C33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12.5703125" bestFit="1" customWidth="1"/>
    <col min="4" max="4" width="5.140625" bestFit="1" customWidth="1"/>
    <col min="5" max="5" width="9.7109375" bestFit="1" customWidth="1"/>
    <col min="6" max="6" width="11.85546875" bestFit="1" customWidth="1"/>
  </cols>
  <sheetData>
    <row r="1" spans="1:3" ht="15.75" thickBot="1" x14ac:dyDescent="0.3"/>
    <row r="2" spans="1:3" ht="15.75" thickBot="1" x14ac:dyDescent="0.3">
      <c r="A2" s="10" t="s">
        <v>15</v>
      </c>
    </row>
    <row r="3" spans="1:3" x14ac:dyDescent="0.25">
      <c r="A3" s="7" t="s">
        <v>94</v>
      </c>
      <c r="B3" s="7" t="s">
        <v>2</v>
      </c>
    </row>
    <row r="4" spans="1:3" x14ac:dyDescent="0.25">
      <c r="A4" s="7" t="s">
        <v>0</v>
      </c>
      <c r="B4">
        <v>2022</v>
      </c>
      <c r="C4" t="s">
        <v>1</v>
      </c>
    </row>
    <row r="5" spans="1:3" x14ac:dyDescent="0.25">
      <c r="A5" s="8" t="s">
        <v>3</v>
      </c>
      <c r="B5" s="25"/>
      <c r="C5" s="25"/>
    </row>
    <row r="6" spans="1:3" x14ac:dyDescent="0.25">
      <c r="A6" s="8" t="s">
        <v>4</v>
      </c>
      <c r="B6" s="25"/>
      <c r="C6" s="25"/>
    </row>
    <row r="7" spans="1:3" x14ac:dyDescent="0.25">
      <c r="A7" s="8" t="s">
        <v>5</v>
      </c>
      <c r="B7" s="25"/>
      <c r="C7" s="25"/>
    </row>
    <row r="8" spans="1:3" x14ac:dyDescent="0.25">
      <c r="A8" s="8" t="s">
        <v>1</v>
      </c>
      <c r="B8" s="25"/>
      <c r="C8" s="25"/>
    </row>
    <row r="18" spans="1:3" ht="15.75" thickBot="1" x14ac:dyDescent="0.3"/>
    <row r="19" spans="1:3" ht="15.75" thickBot="1" x14ac:dyDescent="0.3">
      <c r="A19" s="10" t="s">
        <v>14</v>
      </c>
    </row>
    <row r="20" spans="1:3" x14ac:dyDescent="0.25">
      <c r="B20" s="7" t="s">
        <v>2</v>
      </c>
    </row>
    <row r="21" spans="1:3" x14ac:dyDescent="0.25">
      <c r="B21">
        <v>2022</v>
      </c>
      <c r="C21" t="s">
        <v>1</v>
      </c>
    </row>
    <row r="22" spans="1:3" x14ac:dyDescent="0.25">
      <c r="A22" t="s">
        <v>94</v>
      </c>
      <c r="B22" s="25"/>
      <c r="C22" s="25"/>
    </row>
    <row r="23" spans="1:3" ht="15.75" thickBot="1" x14ac:dyDescent="0.3"/>
    <row r="24" spans="1:3" ht="15.75" thickBot="1" x14ac:dyDescent="0.3">
      <c r="A24" s="14" t="s">
        <v>13</v>
      </c>
    </row>
    <row r="25" spans="1:3" x14ac:dyDescent="0.25">
      <c r="B25" s="7" t="s">
        <v>2</v>
      </c>
    </row>
    <row r="26" spans="1:3" x14ac:dyDescent="0.25">
      <c r="B26">
        <v>2022</v>
      </c>
      <c r="C26" t="s">
        <v>1</v>
      </c>
    </row>
    <row r="27" spans="1:3" x14ac:dyDescent="0.25">
      <c r="A27" t="s">
        <v>95</v>
      </c>
      <c r="B27" s="25">
        <v>0</v>
      </c>
      <c r="C27" s="2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over de tool</vt:lpstr>
      <vt:lpstr>Elektriciteitverbruiksdashboard</vt:lpstr>
      <vt:lpstr>Gasverbruiksdashboard</vt:lpstr>
      <vt:lpstr>Waterverbruiksdashboard</vt:lpstr>
      <vt:lpstr>Waterverbruikdatabase</vt:lpstr>
      <vt:lpstr>Gasverbruikdatabase</vt:lpstr>
      <vt:lpstr>Elektriciteitverbruikdatabase</vt:lpstr>
      <vt:lpstr>Verbruikskosten</vt:lpstr>
      <vt:lpstr>Conso_tot_EAU</vt:lpstr>
      <vt:lpstr>Conso_postes_EAU</vt:lpstr>
      <vt:lpstr>Cout_conso_postes_EAU</vt:lpstr>
      <vt:lpstr>Evo_conso_postes_EAU</vt:lpstr>
      <vt:lpstr>Secteur_conso_postes_EAU</vt:lpstr>
      <vt:lpstr>Conso_tot_GAZ</vt:lpstr>
      <vt:lpstr>Conso_postes_GAZ</vt:lpstr>
      <vt:lpstr>Coût_conso_postes_GAZ</vt:lpstr>
      <vt:lpstr>Evo_conso_postes_GAZ</vt:lpstr>
      <vt:lpstr>Secteur_conso_postes_GAZ</vt:lpstr>
      <vt:lpstr>Conso_tot_ELEC</vt:lpstr>
      <vt:lpstr>Conso_Postes_ELEC</vt:lpstr>
      <vt:lpstr>Coût_Conso_Postes_ELEC</vt:lpstr>
      <vt:lpstr>Evo_Conso_Postes_ELEC</vt:lpstr>
      <vt:lpstr>Secteur_Conso_Postes_ELEC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STAGIAIRE1</dc:creator>
  <cp:lastModifiedBy>Jerome Bony</cp:lastModifiedBy>
  <dcterms:created xsi:type="dcterms:W3CDTF">2022-05-11T12:09:34Z</dcterms:created>
  <dcterms:modified xsi:type="dcterms:W3CDTF">2022-12-16T16:35:38Z</dcterms:modified>
</cp:coreProperties>
</file>